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Customer Service\Compliance Document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3000" windowWidth="25200" windowHeight="119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c r="D4" i="5"/>
  <c r="E4"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G69" i="6" a="1"/>
  <c r="G69" i="6"/>
  <c r="V6"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V26" i="5"/>
  <c r="V27" i="5"/>
  <c r="V28" i="5"/>
  <c r="V29" i="5"/>
  <c r="V30"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G64" i="6" a="1"/>
  <c r="G64" i="6"/>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<sst xmlns="http://schemas.openxmlformats.org/spreadsheetml/2006/main" count="22392" uniqueCount="15667">
  <si>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</si>
  <si>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</si>
  <si>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</si>
  <si>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</si>
  <si>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</si>
  <si>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</si>
  <si>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</si>
  <si>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</si>
  <si>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</si>
  <si>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</si>
  <si>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</si>
  <si>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</si>
  <si>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</si>
  <si>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</si>
  <si>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</si>
  <si>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</si>
  <si>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</si>
  <si>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</si>
  <si>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</si>
  <si>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</si>
  <si>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</si>
  <si>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</si>
  <si>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</si>
  <si>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</si>
  <si>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</si>
  <si>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</si>
  <si>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</si>
  <si>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</si>
  <si>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</si>
  <si>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</si>
  <si>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</si>
  <si>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</si>
  <si>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</si>
  <si>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</si>
  <si>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</si>
  <si>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</si>
  <si>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</si>
  <si>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</si>
  <si>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</si>
  <si>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</si>
  <si>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</si>
  <si>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</si>
  <si>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</si>
  <si>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</si>
  <si>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</si>
  <si>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</si>
  <si>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</si>
  <si>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</si>
  <si>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</si>
  <si>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</si>
  <si>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</si>
  <si>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</si>
  <si>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</si>
  <si>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</si>
  <si>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</si>
  <si>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</si>
  <si>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</si>
  <si>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</si>
  <si>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</si>
  <si>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</si>
  <si>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</si>
  <si>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</si>
  <si>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</si>
  <si>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</si>
  <si>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</si>
  <si>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</si>
  <si>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</si>
  <si>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</si>
  <si>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</si>
  <si>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</si>
  <si>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</si>
  <si>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</si>
  <si>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</si>
  <si>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</si>
  <si>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</si>
  <si>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</si>
  <si>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</si>
  <si>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</si>
  <si>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</si>
  <si>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</si>
  <si>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</si>
  <si>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</si>
  <si>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</si>
  <si>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</si>
  <si>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</si>
  <si>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</si>
  <si>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</si>
  <si>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</si>
  <si>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</si>
  <si>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</si>
  <si>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</si>
  <si>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</si>
  <si>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</si>
  <si>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</si>
  <si>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</si>
  <si>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</si>
  <si>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</si>
  <si>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</si>
  <si>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</si>
  <si>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</si>
  <si>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</si>
  <si>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</si>
  <si>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</si>
  <si>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</si>
  <si>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</si>
  <si>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</si>
  <si>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</si>
  <si>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</si>
  <si>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</si>
  <si>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</si>
  <si>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</si>
  <si>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</si>
  <si>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</si>
  <si>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</si>
  <si>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</si>
  <si>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</si>
  <si>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</si>
  <si>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</si>
  <si>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</si>
  <si>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</si>
  <si>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</si>
  <si>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</si>
  <si>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</si>
  <si>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</si>
  <si>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</si>
  <si>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</si>
  <si>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</si>
  <si>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</si>
  <si>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</si>
  <si>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</si>
  <si>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</si>
  <si>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</si>
  <si>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</si>
  <si>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</si>
  <si>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</si>
  <si>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</si>
  <si>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</si>
  <si>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</si>
  <si>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</si>
  <si>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</si>
  <si>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</si>
  <si>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</si>
  <si>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</si>
  <si>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</si>
  <si>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</si>
  <si>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</si>
  <si>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</si>
  <si>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</si>
  <si>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</si>
  <si>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</si>
  <si>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</si>
  <si>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</si>
  <si>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</si>
  <si>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</si>
  <si>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</si>
  <si>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</si>
  <si>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</si>
  <si>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</si>
  <si>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</si>
  <si>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</si>
  <si>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</si>
  <si>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</si>
  <si>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</si>
  <si>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</si>
  <si>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</si>
  <si>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</si>
  <si>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</si>
  <si>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</si>
  <si>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</si>
  <si>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</si>
  <si>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</si>
  <si>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</si>
  <si>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</si>
  <si>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</si>
  <si>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</si>
  <si>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</si>
  <si>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</si>
  <si>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</si>
  <si>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</si>
  <si>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</si>
  <si>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</si>
  <si>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</si>
  <si>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</si>
  <si>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</si>
  <si>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</si>
  <si>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</si>
  <si>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</si>
  <si>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</si>
  <si>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</si>
  <si>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</si>
  <si>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</si>
  <si>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</si>
  <si>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</si>
  <si>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</si>
  <si>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</si>
  <si>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</si>
  <si>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</si>
  <si>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</si>
  <si>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</si>
  <si>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</si>
  <si>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</si>
  <si>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</si>
  <si>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</si>
  <si>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</si>
  <si>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</si>
  <si>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</si>
  <si>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</si>
  <si>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</si>
  <si>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</si>
  <si>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</si>
  <si>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</si>
  <si>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</si>
  <si>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</si>
  <si>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</si>
  <si>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</si>
  <si>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</si>
  <si>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</si>
  <si>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</si>
  <si>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</si>
  <si>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</si>
  <si>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</si>
  <si>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</si>
  <si>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</si>
  <si>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</si>
  <si>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</si>
  <si>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</si>
  <si>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</si>
  <si>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</si>
  <si>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</si>
  <si>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</si>
  <si>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</si>
  <si>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</si>
  <si>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</si>
  <si>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</si>
  <si>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</si>
  <si>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</si>
  <si>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</si>
  <si>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</si>
  <si>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</si>
  <si>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</si>
  <si>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</si>
  <si>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</si>
  <si>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</si>
  <si>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</si>
  <si>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</si>
  <si>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</si>
  <si>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</si>
  <si>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</si>
  <si>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</si>
  <si>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</si>
  <si>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</si>
  <si>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</si>
  <si>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</si>
  <si>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</si>
  <si>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</si>
  <si>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</si>
  <si>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</si>
  <si>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</si>
  <si>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</si>
  <si>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</si>
  <si>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</si>
  <si>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</si>
  <si>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</si>
  <si>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</si>
  <si>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</si>
  <si>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</si>
  <si>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</si>
  <si>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</si>
  <si>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</si>
  <si>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</si>
  <si>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</si>
  <si>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</si>
  <si>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</si>
  <si>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</si>
  <si>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</si>
  <si>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</si>
  <si>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</si>
  <si>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</si>
  <si>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</si>
  <si>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</si>
  <si>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</si>
  <si>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</si>
  <si>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</si>
  <si>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</si>
  <si>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</si>
  <si>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</si>
  <si>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</si>
  <si>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</si>
  <si>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</si>
  <si>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</si>
  <si>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</si>
  <si>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</si>
  <si>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</si>
  <si>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</si>
  <si>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</si>
  <si>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</si>
  <si>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</si>
  <si>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</si>
  <si>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</si>
  <si>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</si>
  <si>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</si>
  <si>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</si>
  <si>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</si>
  <si>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</si>
  <si>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</si>
  <si>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</si>
  <si>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</si>
  <si>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</si>
  <si>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</si>
  <si>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</si>
  <si>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</si>
  <si>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</si>
  <si>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</si>
  <si>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</si>
  <si>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</si>
  <si>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</si>
  <si>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</si>
  <si>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</si>
  <si>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</si>
  <si>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</si>
  <si>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</si>
  <si>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</si>
  <si>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</si>
  <si>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</si>
  <si>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</si>
  <si>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</si>
  <si>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</si>
  <si>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</si>
  <si>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</si>
  <si>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</si>
  <si>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</si>
  <si>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</si>
  <si>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</si>
  <si>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</si>
  <si>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</si>
  <si>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</si>
  <si>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</si>
  <si>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</si>
  <si>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</si>
  <si>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</si>
  <si>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</si>
  <si>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</si>
  <si>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</si>
  <si>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</si>
  <si>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</si>
  <si>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</si>
  <si>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</si>
  <si>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</si>
  <si>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</si>
  <si>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</si>
  <si>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</si>
  <si>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</si>
  <si>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</si>
  <si>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</si>
  <si>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</si>
  <si>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</si>
  <si>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</si>
  <si>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</si>
  <si>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</si>
  <si>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</si>
  <si>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</si>
  <si>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</si>
  <si>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</si>
  <si>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</si>
  <si>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</si>
  <si>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</si>
  <si>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</si>
  <si>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</si>
  <si>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</si>
  <si>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</si>
  <si>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</si>
  <si>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</si>
  <si>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</si>
  <si>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</si>
  <si>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</si>
  <si>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</si>
  <si>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</si>
  <si>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</si>
  <si>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</si>
  <si>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</si>
  <si>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</si>
  <si>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</si>
  <si>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</si>
  <si>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</si>
  <si>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</si>
  <si>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</si>
  <si>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</si>
  <si>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</si>
  <si>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</si>
  <si>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</si>
  <si>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</si>
  <si>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</si>
  <si>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</si>
  <si>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</si>
  <si>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</si>
  <si>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</si>
  <si>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</si>
  <si>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</si>
  <si>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</si>
  <si>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</si>
  <si>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</si>
  <si>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</si>
  <si>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</si>
  <si>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</si>
  <si>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</si>
  <si>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</si>
  <si>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</si>
  <si>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</si>
  <si>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</si>
  <si>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</si>
  <si>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</si>
  <si>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</si>
  <si>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</si>
  <si>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</si>
  <si>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</si>
  <si>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</si>
  <si>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</si>
  <si>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</si>
  <si>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</si>
  <si>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</si>
  <si>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</si>
  <si>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</si>
  <si>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</si>
  <si>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</si>
  <si>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</si>
  <si>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</si>
  <si>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</si>
  <si>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</si>
  <si>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</si>
  <si>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</si>
  <si>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</si>
  <si>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</si>
  <si>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</si>
  <si>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</si>
  <si>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</si>
  <si>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</si>
  <si>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</si>
  <si>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</si>
  <si>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</si>
  <si>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</si>
  <si>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</si>
  <si>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</si>
  <si>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</si>
  <si>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</si>
  <si>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</si>
  <si>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</si>
  <si>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</si>
  <si>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</si>
  <si>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</si>
  <si>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</si>
  <si>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</si>
  <si>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</si>
  <si>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</si>
  <si>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</si>
  <si>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</si>
  <si>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</si>
  <si>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</si>
  <si>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</si>
  <si>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</si>
  <si>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</si>
  <si>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</si>
  <si>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</si>
  <si>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</si>
  <si>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</si>
  <si>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</si>
  <si>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</si>
  <si>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</si>
  <si>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</si>
  <si>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</si>
  <si>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</si>
  <si>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</si>
  <si>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</si>
  <si>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</si>
  <si>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</si>
  <si>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</si>
  <si>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</si>
  <si>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</si>
  <si>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</si>
  <si>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</si>
  <si>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</si>
  <si>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</si>
  <si>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</si>
  <si>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</si>
  <si>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</si>
  <si>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</si>
  <si>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</si>
  <si>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</si>
  <si>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</si>
  <si>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</si>
  <si>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</si>
  <si>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</si>
  <si>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</si>
  <si>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</si>
  <si>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</si>
  <si>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</si>
  <si>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</si>
  <si>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</si>
  <si>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</si>
  <si>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</si>
  <si>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</si>
  <si>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</si>
  <si>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</si>
  <si>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</si>
  <si>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</si>
  <si>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</si>
  <si>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</si>
  <si>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</si>
  <si>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</si>
  <si>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</si>
  <si>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</si>
  <si>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</si>
  <si>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</si>
  <si>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</si>
  <si>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</si>
  <si>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</si>
  <si>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</si>
  <si>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</si>
  <si>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</si>
  <si>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</si>
  <si>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</si>
  <si>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</si>
  <si>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</si>
  <si>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</si>
  <si>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</si>
  <si>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</si>
  <si>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</si>
  <si>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</si>
  <si>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</si>
  <si>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</si>
  <si>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</si>
  <si>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</si>
  <si>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</si>
  <si>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</si>
  <si>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</si>
  <si>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</si>
  <si>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</si>
  <si>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</si>
  <si>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</si>
  <si>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</si>
  <si>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</si>
  <si>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</si>
  <si>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</si>
  <si>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</si>
  <si>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</si>
  <si>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</si>
  <si>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</si>
  <si>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</si>
  <si>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</si>
  <si>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</si>
  <si>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</si>
  <si>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</si>
  <si>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</si>
  <si>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</si>
  <si>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</si>
  <si>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</si>
  <si>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</si>
  <si>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</si>
  <si>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</si>
  <si>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</si>
  <si>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</si>
  <si>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</si>
  <si>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</si>
  <si>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</si>
  <si>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</si>
  <si>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</si>
  <si>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</si>
  <si>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</si>
  <si>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</si>
  <si>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</si>
  <si>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</si>
  <si>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</si>
  <si>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</si>
  <si>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</si>
  <si>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</si>
  <si>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</si>
  <si>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</si>
  <si>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</si>
  <si>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</si>
  <si>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</si>
  <si>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</si>
  <si>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</si>
  <si>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</si>
  <si>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</si>
  <si>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</si>
  <si>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</si>
  <si>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</si>
  <si>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</si>
  <si>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</si>
  <si>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</si>
  <si>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</si>
  <si>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</si>
  <si>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</si>
  <si>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</si>
  <si>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</si>
  <si>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</si>
  <si>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</si>
  <si>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</si>
  <si>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</si>
  <si>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</si>
  <si>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</si>
  <si>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</si>
  <si>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</si>
  <si>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</si>
  <si>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</si>
  <si>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</si>
  <si>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</si>
  <si>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</si>
  <si>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</si>
  <si>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</si>
  <si>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</si>
  <si>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</si>
  <si>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</si>
  <si>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</si>
  <si>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</si>
  <si>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</si>
  <si>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</si>
  <si>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</si>
  <si>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</si>
  <si>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</si>
  <si>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</si>
  <si>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</si>
  <si>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</si>
  <si>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</si>
  <si>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</si>
  <si>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</si>
  <si>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</si>
  <si>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</si>
  <si>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</si>
  <si>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</si>
  <si>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</si>
  <si>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</si>
  <si>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</si>
  <si>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</si>
  <si>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</si>
  <si>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</si>
  <si>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</si>
  <si>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</si>
  <si>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</si>
  <si>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</si>
  <si>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</si>
  <si>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</si>
  <si>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</si>
  <si>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</si>
  <si>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</si>
  <si>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</si>
  <si>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</si>
  <si>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</si>
  <si>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</si>
  <si>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</si>
  <si>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</si>
  <si>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</si>
  <si>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</si>
  <si>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</si>
  <si>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</si>
  <si>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</si>
  <si>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</si>
  <si>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</si>
  <si>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</si>
  <si>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</si>
  <si>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</si>
  <si>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</si>
  <si>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</si>
  <si>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</si>
  <si>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</si>
  <si>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</si>
  <si>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</si>
  <si>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</si>
  <si>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</si>
  <si>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</si>
  <si>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</si>
  <si>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</si>
  <si>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</si>
  <si>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</si>
  <si>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</si>
  <si>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</si>
  <si>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</si>
  <si>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</si>
  <si>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</si>
  <si>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</si>
  <si>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</si>
  <si>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</si>
  <si>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</si>
  <si>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</si>
  <si>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</si>
  <si>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</si>
  <si>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</si>
  <si>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</si>
  <si>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</si>
  <si>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</si>
  <si>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</si>
  <si>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</si>
  <si>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</si>
  <si>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</si>
  <si>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</si>
  <si>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</si>
  <si>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</si>
  <si>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</si>
  <si>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</si>
  <si>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</si>
  <si>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</si>
  <si>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</si>
  <si>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</si>
  <si>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</si>
  <si>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</si>
  <si>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</si>
  <si>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</si>
  <si>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</si>
  <si>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</si>
  <si>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</si>
  <si>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</si>
  <si>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</si>
  <si>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</si>
  <si>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</si>
  <si>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</si>
  <si>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</si>
  <si>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</si>
  <si>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</si>
  <si>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</si>
  <si>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</si>
  <si>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</si>
  <si>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</si>
  <si>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</si>
  <si>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</si>
  <si>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</si>
  <si>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</si>
  <si>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</si>
  <si>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</si>
  <si>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</si>
  <si>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</si>
  <si>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</si>
  <si>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</si>
  <si>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</si>
  <si>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</si>
  <si>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</si>
  <si>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</si>
  <si>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</si>
  <si>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</si>
  <si>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</si>
  <si>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</si>
  <si>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</si>
  <si>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</si>
  <si>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</si>
  <si>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</si>
  <si>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</si>
  <si>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</si>
  <si>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</si>
  <si>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</si>
  <si>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</si>
  <si>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</si>
  <si>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</si>
  <si>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</si>
  <si>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</si>
  <si>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</si>
  <si>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</si>
  <si>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</si>
  <si>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</si>
  <si>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</si>
  <si>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</si>
  <si>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</si>
  <si>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</si>
  <si>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</si>
  <si>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</si>
  <si>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</si>
  <si>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</si>
  <si>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</si>
  <si>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</si>
  <si>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</si>
  <si>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</si>
  <si>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</si>
  <si>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</si>
  <si>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</si>
  <si>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</si>
  <si>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</si>
  <si>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</si>
  <si>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</si>
  <si>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</si>
  <si>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</si>
  <si>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</si>
  <si>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</si>
  <si>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</si>
  <si>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</si>
  <si>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</si>
  <si>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</si>
  <si>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</si>
  <si>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</si>
  <si>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</si>
  <si>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</si>
  <si>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</si>
  <si>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</si>
  <si>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</si>
  <si>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</si>
  <si>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</si>
  <si>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</si>
  <si>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</si>
  <si>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</si>
  <si>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</si>
  <si>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</si>
  <si>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</si>
  <si>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</si>
  <si>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</si>
  <si>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</si>
  <si>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</si>
  <si>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</si>
  <si>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</si>
  <si>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</si>
  <si>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</si>
  <si>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</si>
  <si>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</si>
  <si>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</si>
  <si>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</si>
  <si>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</si>
  <si>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</si>
  <si>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</si>
  <si>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</si>
  <si>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</si>
  <si>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</si>
  <si>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</si>
  <si>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</si>
  <si>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</si>
  <si>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</si>
  <si>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</si>
  <si>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</si>
  <si>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</si>
  <si>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</si>
  <si>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</si>
  <si>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</si>
  <si>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</si>
  <si>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</si>
  <si>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</si>
  <si>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</si>
  <si>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</si>
  <si>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</si>
  <si>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</si>
  <si>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</si>
  <si>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</si>
  <si>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</si>
  <si>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</si>
  <si>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</si>
  <si>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</si>
  <si>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</si>
  <si>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</si>
  <si>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</si>
  <si>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</si>
  <si>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</si>
  <si>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</si>
  <si>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</si>
  <si>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</si>
  <si>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</si>
  <si>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</si>
  <si>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</si>
  <si>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</si>
  <si>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</si>
  <si>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</si>
  <si>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</si>
  <si>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</si>
  <si>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</si>
  <si>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</si>
  <si>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</si>
  <si>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</si>
  <si>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</si>
  <si>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</si>
  <si>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</si>
  <si>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</si>
  <si>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</si>
  <si>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</si>
  <si>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</si>
  <si>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</si>
  <si>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</si>
  <si>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</si>
  <si>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</si>
  <si>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</si>
  <si>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</si>
  <si>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</si>
  <si>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</si>
  <si>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</si>
  <si>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</si>
  <si>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</si>
  <si>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</si>
  <si>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</si>
  <si>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</si>
  <si>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</si>
  <si>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</si>
  <si>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</si>
  <si>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</si>
  <si>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</si>
  <si>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</si>
  <si>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</si>
  <si>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</si>
  <si>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</si>
  <si>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</si>
  <si>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</si>
  <si>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</si>
  <si>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</si>
  <si>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</si>
  <si>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</si>
  <si>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</si>
  <si>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</si>
  <si>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</si>
  <si>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</si>
  <si>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</si>
  <si>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</si>
  <si>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</si>
  <si>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</si>
  <si>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</si>
  <si>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</si>
  <si>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</si>
  <si>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</si>
  <si>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</si>
  <si>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</si>
  <si>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</si>
  <si>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</si>
  <si>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</si>
  <si>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</si>
  <si>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</si>
  <si>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</si>
  <si>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</si>
  <si>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</si>
  <si>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</si>
  <si>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</si>
  <si>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</si>
  <si>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</si>
  <si>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</si>
  <si>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</si>
  <si>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</si>
  <si>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</si>
  <si>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</si>
  <si>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</si>
  <si>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</si>
  <si>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</si>
  <si>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</si>
  <si>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</si>
  <si>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</si>
  <si>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</si>
  <si>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</si>
  <si>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</si>
  <si>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</si>
  <si>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</si>
  <si>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</si>
  <si>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</si>
  <si>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</si>
  <si>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</si>
  <si>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</si>
  <si>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</si>
  <si>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</si>
  <si>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</si>
  <si>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</si>
  <si>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</si>
  <si>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</si>
  <si>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</si>
  <si>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</si>
  <si>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</si>
  <si>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</si>
  <si>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</si>
  <si>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</si>
  <si>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</si>
  <si>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</si>
  <si>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</si>
  <si>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</si>
  <si>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</si>
  <si>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</si>
  <si>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</si>
  <si>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</si>
  <si>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</si>
  <si>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</si>
  <si>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</si>
  <si>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</si>
  <si>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</si>
  <si>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</si>
  <si>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</si>
  <si>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</si>
  <si>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</si>
  <si>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</si>
  <si>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</si>
  <si>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</si>
  <si>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</si>
  <si>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</si>
  <si>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</si>
  <si>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</si>
  <si>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</si>
  <si>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</si>
  <si>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</si>
  <si>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</si>
  <si>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</si>
  <si>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</si>
  <si>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</si>
  <si>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</si>
  <si>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</si>
  <si>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</si>
  <si>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</si>
  <si>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</si>
  <si>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</si>
  <si>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</si>
  <si>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</si>
  <si>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</si>
  <si>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</si>
  <si>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</si>
  <si>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</si>
  <si>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</si>
  <si>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</si>
  <si>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</si>
  <si>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</si>
  <si>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</si>
  <si>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</si>
  <si>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</si>
  <si>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</si>
  <si>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</si>
  <si>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</si>
  <si>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</si>
  <si>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</si>
  <si>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</si>
  <si>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</si>
  <si>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</si>
  <si>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</si>
  <si>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</si>
  <si>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</si>
  <si>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</si>
  <si>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</si>
  <si>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</si>
  <si>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</si>
  <si>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</si>
  <si>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</si>
  <si>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</si>
  <si>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</si>
  <si>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</si>
  <si>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</si>
  <si>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</si>
  <si>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</si>
  <si>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</si>
  <si>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</si>
  <si>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</si>
  <si>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</si>
  <si>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</si>
  <si>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</si>
  <si>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</si>
  <si>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</si>
  <si>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</si>
  <si>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</si>
  <si>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</si>
  <si>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</si>
  <si>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</si>
  <si>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</si>
  <si>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</si>
  <si>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</si>
  <si>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</si>
  <si>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</si>
  <si>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</si>
  <si>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</si>
  <si>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</si>
  <si>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</si>
  <si>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</si>
  <si>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</si>
  <si>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</si>
  <si>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</si>
  <si>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</si>
  <si>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</si>
  <si>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</si>
  <si>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</si>
  <si>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</si>
  <si>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</si>
  <si>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</si>
  <si>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</si>
  <si>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</si>
  <si>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</si>
  <si>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</si>
  <si>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</si>
  <si>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</si>
  <si>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</si>
  <si>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</si>
  <si>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</si>
  <si>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</si>
  <si>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</si>
  <si>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</si>
  <si>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</si>
  <si>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</si>
  <si>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</si>
  <si>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</si>
  <si>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</si>
  <si>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</si>
  <si>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</si>
  <si>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</si>
  <si>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</si>
  <si>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</si>
  <si>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</si>
  <si>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</si>
  <si>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</si>
  <si>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</si>
  <si>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</si>
  <si>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</si>
  <si>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</si>
  <si>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</si>
  <si>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</si>
  <si>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</si>
  <si>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</si>
  <si>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</si>
  <si>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</si>
  <si>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</si>
  <si>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</si>
  <si>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</si>
  <si>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</si>
  <si>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</si>
  <si>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</si>
  <si>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</si>
  <si>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</si>
  <si>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</si>
  <si>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</si>
  <si>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</si>
  <si>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</si>
  <si>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</si>
  <si>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</si>
  <si>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</si>
  <si>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</si>
  <si>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</si>
  <si>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</si>
  <si>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</si>
  <si>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</si>
  <si>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</si>
  <si>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</si>
  <si>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</si>
  <si>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</si>
  <si>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</si>
  <si>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</si>
  <si>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</si>
  <si>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</si>
  <si>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</si>
  <si>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</si>
  <si>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</si>
  <si>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</si>
  <si>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</si>
  <si>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</si>
  <si>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</si>
  <si>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</si>
  <si>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</si>
  <si>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</si>
  <si>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</si>
  <si>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</si>
  <si>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</si>
  <si>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</si>
  <si>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</si>
  <si>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</si>
  <si>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</si>
  <si>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</si>
  <si>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</si>
  <si>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</si>
  <si>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</si>
  <si>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</si>
  <si>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</si>
  <si>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</si>
  <si>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</si>
  <si>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</si>
  <si>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</si>
  <si>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</si>
  <si>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</si>
  <si>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</si>
  <si>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</si>
  <si>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</si>
  <si>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</si>
  <si>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</si>
  <si>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</si>
  <si>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</si>
  <si>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</si>
  <si>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</si>
  <si>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</si>
  <si>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</si>
  <si>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</si>
  <si>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</si>
  <si>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</si>
  <si>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</si>
  <si>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</si>
  <si>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</si>
  <si>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</si>
  <si>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</si>
  <si>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</si>
  <si>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</si>
  <si>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</si>
  <si>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</si>
  <si>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</si>
  <si>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</si>
  <si>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</si>
  <si>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</si>
  <si>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</si>
  <si>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</si>
  <si>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</si>
  <si>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</si>
  <si>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</si>
  <si>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</si>
  <si>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</si>
  <si>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</si>
  <si>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</si>
  <si>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</si>
  <si>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</si>
  <si>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</si>
  <si>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</si>
  <si>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</si>
  <si>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</si>
  <si>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</si>
  <si>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</si>
  <si>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</si>
  <si>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</si>
  <si>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</si>
  <si>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</si>
  <si>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</si>
  <si>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</si>
  <si>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</si>
  <si>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</si>
  <si>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</si>
  <si>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</si>
  <si>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</si>
  <si>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</si>
  <si>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</si>
  <si>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</si>
  <si>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</si>
  <si>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</si>
  <si>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</si>
  <si>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</si>
  <si>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</si>
  <si>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</si>
  <si>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</si>
  <si>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</si>
  <si>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</si>
  <si>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</si>
  <si>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</si>
  <si>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</si>
  <si>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</si>
  <si>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</si>
  <si>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</si>
  <si>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</si>
  <si>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</si>
  <si>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</si>
  <si>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</si>
  <si>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</si>
  <si>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</si>
  <si>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</si>
  <si>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</si>
  <si>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</si>
  <si>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</si>
  <si>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</si>
  <si>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</si>
  <si>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</si>
  <si>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</si>
  <si>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</si>
  <si>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</si>
  <si>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</si>
  <si>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</si>
  <si>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</si>
  <si>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</si>
  <si>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</si>
  <si>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</si>
  <si>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</si>
  <si>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</si>
  <si>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</si>
  <si>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</si>
  <si>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</si>
  <si>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</si>
  <si>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</si>
  <si>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</si>
  <si>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</si>
  <si>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</si>
  <si>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</si>
  <si>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</si>
  <si>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</si>
  <si>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</si>
  <si>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</si>
  <si>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</si>
  <si>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</si>
  <si>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</si>
  <si>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</si>
  <si>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</si>
  <si>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</si>
  <si>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</si>
  <si>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</si>
  <si>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</si>
  <si>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</si>
  <si>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</si>
  <si>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</si>
  <si>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</si>
  <si>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</si>
  <si>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</si>
  <si>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</si>
  <si>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</si>
  <si>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</si>
  <si>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</si>
  <si>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</si>
  <si>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</si>
  <si>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</si>
  <si>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</si>
  <si>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</si>
  <si>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</si>
  <si>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</si>
  <si>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</si>
  <si>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</si>
  <si>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</si>
  <si>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</si>
  <si>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</si>
  <si>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</si>
  <si>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</si>
  <si>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</si>
  <si>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</si>
  <si>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</si>
  <si>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</si>
  <si>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</si>
  <si>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</si>
  <si>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</si>
  <si>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</si>
  <si>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</si>
  <si>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</si>
  <si>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</si>
  <si>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</si>
  <si>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</si>
  <si>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</si>
  <si>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</si>
  <si>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</si>
  <si>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</si>
  <si>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</si>
  <si>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</si>
  <si>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</si>
  <si>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</si>
  <si>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</si>
  <si>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</si>
  <si>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</si>
  <si>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</si>
  <si>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</si>
  <si>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</si>
  <si>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</si>
  <si>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</si>
  <si>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</si>
  <si>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</si>
  <si>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</si>
  <si>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</si>
  <si>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</si>
  <si>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</si>
  <si>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</si>
  <si>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</si>
  <si>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</si>
  <si>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</si>
  <si>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</si>
  <si>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</si>
  <si>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</si>
  <si>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</si>
  <si>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</si>
  <si>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</si>
  <si>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</si>
  <si>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</si>
  <si>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</si>
  <si>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</si>
  <si>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</si>
  <si>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</si>
  <si>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</si>
  <si>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</si>
  <si>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</si>
  <si>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</si>
  <si>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</si>
  <si>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</si>
  <si>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</si>
  <si>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</si>
  <si>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</si>
  <si>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</si>
  <si>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</si>
  <si>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</si>
  <si>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</si>
  <si>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</si>
  <si>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</si>
  <si>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</si>
  <si>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</si>
  <si>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</si>
  <si>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</si>
  <si>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</si>
  <si>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</si>
  <si>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</si>
  <si>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</si>
  <si>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</si>
  <si>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</si>
  <si>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</si>
  <si>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</si>
  <si>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</si>
  <si>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</si>
  <si>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</si>
  <si>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</si>
  <si>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</si>
  <si>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</si>
  <si>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</si>
  <si>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</si>
  <si>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</si>
  <si>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</si>
  <si>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</si>
  <si>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</si>
  <si>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</si>
  <si>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</si>
  <si>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</si>
  <si>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</si>
  <si>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</si>
  <si>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</si>
  <si>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</si>
  <si>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</si>
  <si>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</si>
  <si>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</si>
  <si>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</si>
  <si>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</si>
  <si>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</si>
  <si>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</si>
  <si>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</si>
  <si>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</si>
  <si>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</si>
  <si>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</si>
  <si>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</si>
  <si>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</si>
  <si>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</si>
  <si>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</si>
  <si>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</si>
  <si>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</si>
  <si>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</si>
  <si>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</si>
  <si>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</si>
  <si>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</si>
  <si>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</si>
  <si>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</si>
  <si>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</si>
  <si>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</si>
  <si>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</si>
  <si>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</si>
  <si>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</si>
  <si>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</si>
  <si>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</si>
  <si>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</si>
  <si>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</si>
  <si>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</si>
  <si>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</si>
  <si>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</si>
  <si>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</si>
  <si>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</si>
  <si>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</si>
  <si>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</si>
  <si>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</si>
  <si>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</si>
  <si>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</si>
  <si>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</si>
  <si>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</si>
  <si>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</si>
  <si>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</si>
  <si>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</si>
  <si>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</si>
  <si>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</si>
  <si>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</si>
  <si>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</si>
  <si>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</si>
  <si>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</si>
  <si>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</si>
  <si>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</si>
  <si>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</si>
  <si>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</si>
  <si>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</si>
  <si>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</si>
  <si>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</si>
  <si>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</si>
  <si>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</si>
  <si>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</si>
  <si>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</si>
  <si>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</si>
  <si>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</si>
  <si>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</si>
  <si>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</si>
  <si>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</si>
  <si>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</si>
  <si>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</si>
  <si>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</si>
  <si>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</si>
  <si>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</si>
  <si>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</si>
  <si>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</si>
  <si>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</si>
  <si>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</si>
  <si>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</si>
  <si>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</si>
  <si>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</si>
  <si>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</si>
  <si>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</si>
  <si>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</si>
  <si>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</si>
  <si>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</si>
  <si>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</si>
  <si>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</si>
  <si>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</si>
  <si>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</si>
  <si>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</si>
  <si>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</si>
  <si>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</si>
  <si>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</si>
  <si>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</si>
  <si>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</si>
  <si>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</si>
  <si>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</si>
  <si>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</si>
  <si>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</si>
  <si>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</si>
  <si>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</si>
  <si>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</si>
  <si>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</si>
  <si>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</si>
  <si>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</si>
  <si>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</si>
  <si>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</si>
  <si>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</si>
  <si>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</si>
  <si>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</si>
  <si>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</si>
  <si>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</si>
  <si>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</si>
  <si>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</si>
  <si>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</si>
  <si>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</si>
  <si>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</si>
  <si>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</si>
  <si>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</si>
  <si>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</si>
  <si>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</si>
  <si>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</si>
  <si>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</si>
  <si>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</si>
  <si>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</si>
  <si>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</si>
  <si>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</si>
  <si>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</si>
  <si>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</si>
  <si>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</si>
  <si>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</si>
  <si>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</si>
  <si>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</si>
  <si>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</si>
  <si>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</si>
  <si>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</si>
  <si>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</si>
  <si>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</si>
  <si>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</si>
  <si>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</si>
  <si>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</si>
  <si>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</si>
  <si>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</si>
  <si>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</si>
  <si>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</si>
  <si>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</si>
  <si>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</si>
  <si>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</si>
  <si>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</si>
  <si>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</si>
  <si>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</si>
  <si>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</si>
  <si>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</si>
  <si>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</si>
  <si>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</si>
  <si>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</si>
  <si>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</si>
  <si>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</si>
  <si>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</si>
  <si>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</si>
  <si>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</si>
  <si>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</si>
  <si>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</si>
  <si>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</si>
  <si>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</si>
  <si>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</si>
  <si>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</si>
  <si>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</si>
  <si>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</si>
  <si>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</si>
  <si>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</si>
  <si>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</si>
  <si>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</si>
  <si>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</si>
  <si>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</si>
  <si>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</si>
  <si>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</si>
  <si>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</si>
  <si>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</si>
  <si>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</si>
  <si>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</si>
  <si>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</si>
  <si>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</si>
  <si>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</si>
  <si>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</si>
  <si>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</si>
  <si>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</si>
  <si>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</si>
  <si>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</si>
  <si>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</si>
  <si>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</si>
  <si>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</si>
  <si>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</si>
  <si>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</si>
  <si>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</si>
  <si>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</si>
  <si>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</si>
  <si>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</si>
  <si>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</si>
  <si>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</si>
  <si>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</si>
  <si>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</si>
  <si>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</si>
  <si>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</si>
  <si>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</si>
  <si>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</si>
  <si>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</si>
  <si>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</si>
  <si>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</si>
  <si>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</si>
  <si>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</si>
  <si>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</si>
  <si>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</si>
  <si>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</si>
  <si>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</si>
  <si>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</si>
  <si>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</si>
  <si>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</si>
  <si>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</si>
  <si>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</si>
  <si>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</si>
  <si>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</si>
  <si>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</si>
  <si>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</si>
  <si>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</si>
  <si>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</si>
  <si>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</si>
  <si>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</si>
  <si>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</si>
  <si>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</si>
  <si>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</si>
  <si>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</si>
  <si>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</si>
  <si>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</si>
  <si>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</si>
  <si>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</si>
  <si>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</si>
  <si>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</si>
  <si>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</si>
  <si>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</si>
  <si>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</si>
  <si>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</si>
  <si>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</si>
  <si>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</si>
  <si>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</si>
  <si>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</si>
  <si>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</si>
  <si>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</si>
  <si>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</si>
  <si>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</si>
  <si>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</si>
  <si>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</si>
  <si>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</si>
  <si>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</si>
  <si>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</si>
  <si>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</si>
  <si>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</si>
  <si>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</si>
  <si>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</si>
  <si>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</si>
  <si>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</si>
  <si>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</si>
  <si>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</si>
  <si>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</si>
  <si>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</si>
  <si>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</si>
  <si>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</si>
  <si>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</si>
  <si>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</si>
  <si>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</si>
  <si>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</si>
  <si>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</si>
  <si>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</si>
  <si>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</si>
  <si>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</si>
  <si>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</si>
  <si>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</si>
  <si>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</si>
  <si>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</si>
  <si>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</si>
  <si>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</si>
  <si>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</si>
  <si>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</si>
  <si>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</si>
  <si>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</si>
  <si>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</si>
  <si>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</si>
  <si>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</si>
  <si>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</si>
  <si>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</si>
  <si>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</si>
  <si>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</si>
  <si>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</si>
  <si>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</si>
  <si>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</si>
  <si>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</si>
  <si>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</si>
  <si>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</si>
  <si>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</si>
  <si>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</si>
  <si>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</si>
  <si>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</si>
  <si>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</si>
  <si>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</si>
  <si>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</si>
  <si>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</si>
  <si>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</si>
  <si>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</si>
  <si>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</si>
  <si>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</si>
  <si>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</si>
  <si>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</si>
  <si>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</si>
  <si>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</si>
  <si>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</si>
  <si>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</si>
  <si>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</si>
  <si>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</si>
  <si>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</si>
  <si>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</si>
  <si>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</si>
  <si>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</si>
  <si>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</si>
  <si>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</si>
  <si>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</si>
  <si>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</si>
  <si>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</si>
  <si>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</si>
  <si>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</si>
  <si>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</si>
  <si>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</si>
  <si>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</si>
  <si>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</si>
  <si>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</si>
  <si>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</si>
  <si>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</si>
  <si>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</si>
  <si>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</si>
  <si>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</si>
  <si>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</si>
  <si>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</si>
  <si>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</si>
  <si>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</si>
  <si>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</si>
  <si>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</si>
  <si>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</si>
  <si>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</si>
  <si>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</si>
  <si>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</si>
  <si>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</si>
  <si>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</si>
  <si>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</si>
  <si>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</si>
  <si>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</si>
  <si>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</si>
  <si>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</si>
  <si>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</si>
  <si>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</si>
  <si>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</si>
  <si>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</si>
  <si>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</si>
  <si>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</si>
  <si>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</si>
  <si>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</si>
  <si>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</si>
  <si>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</si>
  <si>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</si>
  <si>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</si>
  <si>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</si>
  <si>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</si>
  <si>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</si>
  <si>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</si>
  <si>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</si>
  <si>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</si>
  <si>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</si>
  <si>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</si>
  <si>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</si>
  <si>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</si>
  <si>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</si>
  <si>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</si>
  <si>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</si>
  <si>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</si>
  <si>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</si>
  <si>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</si>
  <si>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</si>
  <si>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</si>
  <si>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</si>
  <si>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</si>
  <si>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</si>
  <si>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</si>
  <si>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</si>
  <si>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</si>
  <si>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</si>
  <si>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</si>
  <si>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</si>
  <si>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</si>
  <si>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</si>
  <si>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</si>
  <si>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</si>
  <si>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</si>
  <si>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</si>
  <si>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</si>
  <si>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</si>
  <si>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</si>
  <si>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</si>
  <si>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</si>
  <si>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</si>
  <si>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</si>
  <si>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</si>
  <si>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</si>
  <si>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</si>
  <si>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</si>
  <si>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</si>
  <si>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</si>
  <si>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</si>
  <si>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</si>
  <si>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</si>
  <si>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</si>
  <si>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</si>
  <si>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</si>
  <si>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</si>
  <si>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</si>
  <si>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</si>
  <si>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</si>
  <si>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</si>
  <si>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</si>
  <si>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</si>
  <si>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</si>
  <si>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</si>
  <si>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</si>
  <si>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</si>
  <si>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</si>
  <si>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</si>
  <si>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</si>
  <si>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</si>
  <si>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</si>
  <si>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</si>
  <si>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</si>
  <si>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</si>
  <si>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</si>
  <si>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</si>
  <si>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</si>
  <si>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</si>
  <si>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</si>
  <si>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</si>
  <si>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</si>
  <si>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</si>
  <si>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</si>
  <si>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</si>
  <si>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</si>
  <si>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</si>
  <si>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</si>
  <si>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</si>
  <si>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</si>
  <si>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</si>
  <si>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</si>
  <si>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</si>
  <si>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</si>
  <si>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</si>
  <si>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</si>
  <si>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</si>
  <si>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</si>
  <si>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</si>
  <si>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</si>
  <si>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</si>
  <si>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</si>
  <si>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</si>
  <si>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</si>
  <si>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</si>
  <si>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</si>
  <si>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</si>
  <si>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</si>
  <si>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</si>
  <si>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</si>
  <si>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</si>
  <si>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</si>
  <si>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</si>
  <si>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</si>
  <si>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</si>
  <si>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</si>
  <si>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</si>
  <si>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</si>
  <si>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</si>
  <si>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</si>
  <si>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</si>
  <si>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</si>
  <si>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</si>
  <si>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</si>
  <si>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</si>
  <si>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</si>
  <si>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</si>
  <si>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</si>
  <si>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</si>
  <si>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</si>
  <si>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</si>
  <si>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</si>
  <si>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</si>
  <si>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</si>
  <si>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</si>
  <si>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</si>
  <si>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</si>
  <si>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</si>
  <si>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</si>
  <si>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</si>
  <si>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</si>
  <si>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</si>
  <si>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</si>
  <si>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</si>
  <si>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</si>
  <si>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</si>
  <si>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</si>
  <si>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</si>
  <si>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</si>
  <si>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</si>
  <si>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</si>
  <si>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</si>
  <si>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</si>
  <si>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</si>
  <si>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</si>
  <si>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</si>
  <si>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</si>
  <si>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</si>
  <si>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</si>
  <si>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</si>
  <si>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</si>
  <si>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</si>
  <si>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</si>
  <si>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</si>
  <si>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</si>
  <si>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</si>
  <si>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</si>
  <si>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</si>
  <si>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</si>
  <si>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</si>
  <si>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</si>
  <si>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</si>
  <si>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</si>
  <si>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</si>
  <si>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</si>
  <si>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</si>
  <si>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</si>
  <si>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</si>
  <si>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</si>
  <si>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</si>
  <si>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</si>
  <si>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</si>
  <si>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</si>
  <si>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</si>
  <si>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</si>
  <si>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</si>
  <si>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</si>
  <si>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</si>
  <si>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</si>
  <si>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</si>
  <si>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</si>
  <si>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</si>
  <si>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</si>
  <si>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</si>
  <si>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</si>
  <si>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</si>
  <si>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</si>
  <si>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</si>
  <si>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</si>
  <si>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</si>
  <si>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</si>
  <si>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</si>
  <si>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</si>
  <si>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</si>
  <si>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</si>
  <si>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</si>
  <si>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</si>
  <si>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</si>
  <si>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</si>
  <si>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</si>
  <si>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</si>
  <si>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</si>
  <si>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</si>
  <si>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</si>
  <si>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</si>
  <si>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</si>
  <si>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</si>
  <si>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</si>
  <si>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</si>
  <si>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</si>
  <si>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</si>
  <si>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</si>
  <si>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</si>
  <si>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</si>
  <si>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</si>
  <si>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</si>
  <si>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</si>
  <si>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</si>
  <si>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</si>
  <si>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</si>
  <si>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</si>
  <si>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</si>
  <si>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</si>
  <si>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</si>
  <si>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</si>
  <si>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</si>
  <si>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</si>
  <si>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</si>
  <si>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</si>
  <si>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</si>
  <si>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</si>
  <si>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</si>
  <si>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</si>
  <si>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</si>
  <si>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</si>
  <si>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</si>
  <si>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</si>
  <si>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</si>
  <si>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</si>
  <si>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</si>
  <si>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</si>
  <si>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</si>
  <si>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</si>
  <si>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</si>
  <si>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</si>
  <si>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</si>
  <si>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</si>
  <si>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</si>
  <si>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</si>
  <si>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</si>
  <si>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</si>
  <si>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</si>
  <si>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</si>
  <si>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</si>
  <si>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</si>
  <si>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</si>
  <si>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</si>
  <si>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</si>
  <si>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</si>
  <si>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</si>
  <si>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</si>
  <si>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</si>
  <si>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</si>
  <si>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</si>
  <si>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</si>
  <si>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</si>
  <si>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</si>
  <si>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</si>
  <si>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</si>
  <si>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</si>
  <si>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</si>
  <si>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</si>
  <si>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</si>
  <si>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</si>
  <si>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</si>
  <si>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</si>
  <si>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</si>
  <si>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</si>
  <si>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</si>
  <si>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</si>
  <si>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</si>
  <si>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</si>
  <si>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</si>
  <si>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</si>
  <si>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</si>
  <si>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</si>
  <si>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</si>
  <si>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</si>
  <si>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</si>
  <si>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</si>
  <si>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</si>
  <si>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</si>
  <si>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</si>
  <si>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</si>
  <si>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</si>
  <si>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</si>
  <si>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</si>
  <si>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</si>
  <si>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</si>
  <si>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</si>
  <si>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</si>
  <si>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</si>
  <si>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</si>
  <si>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</si>
  <si>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</si>
  <si>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</si>
  <si>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</si>
  <si>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</si>
  <si>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</si>
  <si>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</si>
  <si>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</si>
  <si>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</si>
  <si>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</si>
  <si>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</si>
  <si>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</si>
  <si>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</si>
  <si>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</si>
  <si>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</si>
  <si>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</si>
  <si>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</si>
  <si>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</si>
  <si>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</si>
  <si>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</si>
  <si>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</si>
  <si>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</si>
  <si>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</si>
  <si>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</si>
  <si>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</si>
  <si>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</si>
  <si>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</si>
  <si>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</si>
  <si>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</si>
  <si>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</si>
  <si>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</si>
  <si>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</si>
  <si>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</si>
  <si>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</si>
  <si>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</si>
  <si>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</si>
  <si>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</si>
  <si>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</si>
  <si>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</si>
  <si>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</si>
  <si>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</si>
  <si>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</si>
  <si>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</si>
  <si>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</si>
  <si>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</si>
  <si>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</si>
  <si>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</si>
  <si>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</si>
  <si>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</si>
  <si>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</si>
  <si>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</si>
  <si>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</si>
  <si>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</si>
  <si>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</si>
  <si>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</si>
  <si>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</si>
  <si>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</si>
  <si>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</si>
  <si>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</si>
  <si>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</si>
  <si>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</si>
  <si>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</si>
  <si>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</si>
  <si>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</si>
  <si>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</si>
  <si>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</si>
  <si>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</si>
  <si>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</si>
  <si>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</si>
  <si>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</si>
  <si>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</si>
  <si>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</si>
  <si>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</si>
  <si>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</si>
  <si>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</si>
  <si>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</si>
  <si>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</si>
  <si>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</si>
  <si>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</si>
  <si>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</si>
  <si>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</si>
  <si>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</si>
  <si>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</si>
  <si>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</si>
  <si>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</si>
  <si>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</si>
  <si>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</si>
  <si>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</si>
  <si>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</si>
  <si>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</si>
  <si>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</si>
  <si>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</si>
  <si>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</si>
  <si>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</si>
  <si>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</si>
  <si>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</si>
  <si>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</si>
  <si>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</si>
  <si>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</si>
  <si>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</si>
  <si>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</si>
  <si>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</si>
  <si>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</si>
  <si>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</si>
  <si>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</si>
  <si>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</si>
  <si>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</si>
  <si>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</si>
  <si>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</si>
  <si>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</si>
  <si>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</si>
  <si>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</si>
  <si>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</si>
  <si>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</si>
  <si>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</si>
  <si>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</si>
  <si>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</si>
  <si>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</si>
  <si>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</si>
  <si>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</si>
  <si>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</si>
  <si>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</si>
  <si>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</si>
  <si>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</si>
  <si>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</si>
  <si>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</si>
  <si>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</si>
  <si>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</si>
  <si>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</si>
  <si>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</si>
  <si>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</si>
  <si>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</si>
  <si>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</si>
  <si>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</si>
  <si>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</si>
  <si>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</si>
  <si>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</si>
  <si>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</si>
  <si>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</si>
  <si>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</si>
  <si>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</si>
  <si>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</si>
  <si>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</si>
  <si>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</si>
  <si>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</si>
  <si>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</si>
  <si>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</si>
  <si>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</si>
  <si>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</si>
  <si>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</si>
  <si>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</si>
  <si>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</si>
  <si>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</si>
  <si>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</si>
  <si>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</si>
  <si>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</si>
  <si>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</si>
  <si>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</si>
  <si>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</si>
  <si>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</si>
  <si>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</si>
  <si>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</si>
  <si>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</si>
  <si>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</si>
  <si>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</si>
  <si>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</si>
  <si>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</si>
  <si>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</si>
  <si>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</si>
  <si>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</si>
  <si>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</si>
  <si>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</si>
  <si>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</si>
  <si>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</si>
  <si>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</si>
  <si>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</si>
  <si>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</si>
  <si>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</si>
  <si>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</si>
  <si>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</si>
  <si>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</si>
  <si>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</si>
  <si>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</si>
  <si>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</si>
  <si>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</si>
  <si>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</si>
  <si>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</si>
  <si>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</si>
  <si>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</si>
  <si>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</si>
  <si>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</si>
  <si>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</si>
  <si>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</si>
  <si>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</si>
  <si>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</si>
  <si>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</si>
  <si>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</si>
  <si>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</si>
  <si>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</si>
  <si>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</si>
  <si>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</si>
  <si>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</si>
  <si>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</si>
  <si>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</si>
  <si>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</si>
  <si>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</si>
  <si>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</si>
  <si>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</si>
  <si>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</si>
  <si>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</si>
  <si>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</si>
  <si>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</si>
  <si>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</si>
  <si>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</si>
  <si>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</si>
  <si>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</si>
  <si>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</si>
  <si>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</si>
  <si>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</si>
  <si>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</si>
  <si>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</si>
  <si>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</si>
  <si>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</si>
  <si>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</si>
  <si>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</si>
  <si>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</si>
  <si>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</si>
  <si>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</si>
  <si>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</si>
  <si>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</si>
  <si>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</si>
  <si>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</si>
  <si>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</si>
  <si>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</si>
  <si>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</si>
  <si>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</si>
  <si>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</si>
  <si>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</si>
  <si>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</si>
  <si>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</si>
  <si>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</si>
  <si>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</si>
  <si>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</si>
  <si>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</si>
  <si>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</si>
  <si>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</si>
  <si>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</si>
  <si>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</si>
  <si>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</si>
  <si>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</si>
  <si>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</si>
  <si>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</si>
  <si>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</si>
  <si>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</si>
  <si>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</si>
  <si>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</si>
  <si>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</si>
  <si>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</si>
  <si>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</si>
  <si>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</si>
  <si>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</si>
  <si>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</si>
  <si>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</si>
  <si>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</si>
  <si>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</si>
  <si>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</si>
  <si>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</si>
  <si>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</si>
  <si>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</si>
  <si>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</si>
  <si>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</si>
  <si>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</si>
  <si>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</si>
  <si>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</si>
  <si>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</si>
  <si>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</si>
  <si>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</si>
  <si>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</si>
  <si>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</si>
  <si>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</si>
  <si>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</si>
  <si>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</si>
  <si>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</si>
  <si>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</si>
  <si>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</si>
  <si>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</si>
  <si>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</si>
  <si>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</si>
  <si>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</si>
  <si>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</si>
  <si>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</si>
  <si>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</si>
  <si>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</si>
  <si>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</si>
  <si>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</si>
  <si>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</si>
  <si>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</si>
  <si>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</si>
  <si>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</si>
  <si>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</si>
  <si>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</si>
  <si>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</si>
  <si>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</si>
  <si>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</si>
  <si>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</si>
  <si>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</si>
  <si>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</si>
  <si>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</si>
  <si>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</si>
  <si>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</si>
  <si>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</si>
  <si>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</si>
  <si>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</si>
  <si>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</si>
  <si>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</si>
  <si>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</si>
  <si>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</si>
  <si>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</si>
  <si>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</si>
  <si>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</si>
  <si>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</si>
  <si>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</si>
  <si>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</si>
  <si>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</si>
  <si>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</si>
  <si>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</si>
  <si>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</si>
  <si>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</si>
  <si>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</si>
  <si>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</si>
  <si>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</si>
  <si>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</si>
  <si>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</si>
  <si>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</si>
  <si>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</si>
  <si>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</si>
  <si>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</si>
  <si>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</si>
  <si>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</si>
  <si>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</si>
  <si>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</si>
  <si>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</si>
  <si>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</si>
  <si>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</si>
  <si>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</si>
  <si>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</si>
  <si>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</si>
  <si>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</si>
  <si>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</si>
  <si>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</si>
  <si>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</si>
  <si>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</si>
  <si>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</si>
  <si>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</si>
  <si>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</si>
  <si>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</si>
  <si>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</si>
  <si>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</si>
  <si>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</si>
  <si>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</si>
  <si>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</si>
  <si>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</si>
  <si>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</si>
  <si>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</si>
  <si>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</si>
  <si>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</si>
  <si>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</si>
  <si>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</si>
  <si>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</si>
  <si>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</si>
  <si>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</si>
  <si>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</si>
  <si>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</si>
  <si>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</si>
  <si>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</si>
  <si>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</si>
  <si>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</si>
  <si>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</si>
  <si>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</si>
  <si>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</si>
  <si>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</si>
  <si>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</si>
  <si>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</si>
  <si>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</si>
  <si>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</si>
  <si>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</si>
  <si>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</si>
  <si>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</si>
  <si>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</si>
  <si>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</si>
  <si>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</si>
  <si>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</si>
  <si>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</si>
  <si>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</si>
  <si>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</si>
  <si>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</si>
  <si>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</si>
  <si>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</si>
  <si>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</si>
  <si>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</si>
  <si>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</si>
  <si>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</si>
  <si>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</si>
  <si>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</si>
  <si>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</si>
  <si>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</si>
  <si>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</si>
  <si>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</si>
  <si>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</si>
  <si>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</si>
  <si>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</si>
  <si>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</si>
  <si>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</si>
  <si>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</si>
  <si>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</si>
  <si>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</si>
  <si>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</si>
  <si>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</si>
  <si>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</si>
  <si>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</si>
  <si>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</si>
  <si>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</si>
  <si>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</si>
  <si>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</si>
  <si>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</si>
  <si>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</si>
  <si>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</si>
  <si>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</si>
  <si>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</si>
  <si>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</si>
  <si>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</si>
  <si>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</si>
  <si>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</si>
  <si>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</si>
  <si>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</si>
  <si>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</si>
  <si>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</si>
  <si>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</si>
  <si>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</si>
  <si>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</si>
  <si>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</si>
  <si>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</si>
  <si>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</si>
  <si>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</si>
  <si>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</si>
  <si>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</si>
  <si>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</si>
  <si>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</si>
  <si>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</si>
  <si>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</si>
  <si>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</si>
  <si>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</si>
  <si>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</si>
  <si>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</si>
  <si>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</si>
  <si>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</si>
  <si>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</si>
  <si>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</si>
  <si>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</si>
  <si>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</si>
  <si>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</si>
  <si>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</si>
  <si>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</si>
  <si>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</si>
  <si>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</si>
  <si>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</si>
  <si>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</si>
  <si>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</si>
  <si>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</si>
  <si>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</si>
  <si>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</si>
  <si>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</si>
  <si>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</si>
  <si>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</si>
  <si>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</si>
  <si>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</si>
  <si>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</si>
  <si>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</si>
  <si>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</si>
  <si>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</si>
  <si>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</si>
  <si>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</si>
  <si>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</si>
  <si>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</si>
  <si>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</si>
  <si>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</si>
  <si>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</si>
  <si>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</si>
  <si>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</si>
  <si>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</si>
  <si>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</si>
  <si>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</si>
  <si>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</si>
  <si>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</si>
  <si>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</si>
  <si>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</si>
  <si>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</si>
  <si>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</si>
  <si>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</si>
  <si>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</si>
  <si>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</si>
  <si>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</si>
  <si>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</si>
  <si>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</si>
  <si>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</si>
  <si>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</si>
  <si>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</si>
  <si>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</si>
  <si>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</si>
  <si>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</si>
  <si>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</si>
  <si>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</si>
  <si>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</si>
  <si>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</si>
  <si>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</si>
  <si>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</si>
  <si>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</si>
  <si>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</si>
  <si>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</si>
  <si>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</si>
  <si>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</si>
  <si>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</si>
  <si>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</si>
  <si>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</si>
  <si>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</si>
  <si>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</si>
  <si>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</si>
  <si>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</si>
  <si>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</si>
  <si>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</si>
  <si>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</si>
  <si>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</si>
  <si>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</si>
  <si>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</si>
  <si>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</si>
  <si>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</si>
  <si>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</si>
  <si>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</si>
  <si>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</si>
  <si>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</si>
  <si>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</si>
  <si>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</si>
  <si>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</si>
  <si>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</si>
  <si>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</si>
  <si>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</si>
  <si>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</si>
  <si>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</si>
  <si>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</si>
  <si>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</si>
  <si>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</si>
  <si>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</si>
  <si>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</si>
  <si>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</si>
  <si>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</si>
  <si>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</si>
  <si>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</si>
  <si>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</si>
  <si>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</si>
  <si>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</si>
  <si>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</si>
  <si>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</si>
  <si>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</si>
  <si>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</si>
  <si>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</si>
  <si>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</si>
  <si>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</si>
  <si>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</si>
  <si>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</si>
  <si>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</si>
  <si>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</si>
  <si>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</si>
  <si>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</si>
  <si>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</si>
  <si>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</si>
  <si>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</si>
  <si>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</si>
  <si>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</si>
  <si>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</si>
  <si>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</si>
  <si>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</si>
  <si>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</si>
  <si>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</si>
  <si>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</si>
  <si>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</si>
  <si>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</si>
  <si>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</si>
  <si>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</si>
  <si>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</si>
  <si>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</si>
  <si>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</si>
  <si>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</si>
  <si>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</si>
  <si>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</si>
  <si>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</si>
  <si>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</si>
  <si>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</si>
  <si>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</si>
  <si>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</si>
  <si>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</si>
  <si>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</si>
  <si>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</si>
  <si>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</si>
  <si>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</si>
  <si>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</si>
  <si>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</si>
  <si>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</si>
  <si>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</si>
  <si>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</si>
  <si>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</si>
  <si>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</si>
  <si>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</si>
  <si>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</si>
  <si>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</si>
  <si>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</si>
  <si>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</si>
  <si>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</si>
  <si>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</si>
  <si>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</si>
  <si>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</si>
  <si>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</si>
  <si>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</si>
  <si>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</si>
  <si>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</si>
  <si>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</si>
  <si>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</si>
  <si>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</si>
  <si>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</si>
  <si>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</si>
  <si>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</si>
  <si>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</si>
  <si>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</si>
  <si>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</si>
  <si>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</si>
  <si>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</si>
  <si>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</si>
  <si>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</si>
  <si>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</si>
  <si>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</si>
  <si>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</si>
  <si>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</si>
  <si>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</si>
  <si>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</si>
  <si>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</si>
  <si>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</si>
  <si>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</si>
  <si>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</si>
  <si>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</si>
  <si>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</si>
  <si>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</si>
  <si>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</si>
  <si>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</si>
  <si>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</si>
  <si>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</si>
  <si>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</si>
  <si>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</si>
  <si>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</si>
  <si>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</si>
  <si>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</si>
  <si>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</si>
  <si>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</si>
  <si>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</si>
  <si>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</si>
  <si>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</si>
  <si>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</si>
  <si>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</si>
  <si>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</si>
  <si>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</si>
  <si>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</si>
  <si>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</si>
  <si>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</si>
  <si>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</si>
  <si>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</si>
  <si>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</si>
  <si>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</si>
  <si>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</si>
  <si>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</si>
  <si>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</si>
  <si>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</si>
  <si>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</si>
  <si>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</si>
  <si>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</si>
  <si>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</si>
  <si>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</si>
  <si>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</si>
  <si>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</si>
  <si>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</si>
  <si>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</si>
  <si>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</si>
  <si>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</si>
  <si>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</si>
  <si>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</si>
  <si>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</si>
  <si>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</si>
  <si>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</si>
  <si>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</si>
  <si>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</si>
  <si>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</si>
  <si>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</si>
  <si>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</si>
  <si>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</si>
  <si>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</si>
  <si>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</si>
  <si>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</si>
  <si>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</si>
  <si>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</si>
  <si>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</si>
  <si>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</si>
  <si>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</si>
  <si>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</si>
  <si>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</si>
  <si>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</si>
  <si>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</si>
  <si>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</si>
  <si>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</si>
  <si>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</si>
  <si>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</si>
  <si>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</si>
  <si>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</si>
  <si>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</si>
  <si>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</si>
  <si>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</si>
  <si>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</si>
  <si>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</si>
  <si>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</si>
  <si>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</si>
  <si>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</si>
  <si>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</si>
  <si>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</si>
  <si>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</si>
  <si>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</si>
  <si>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</si>
  <si>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</si>
  <si>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</si>
  <si>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</si>
  <si>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</si>
  <si>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</si>
  <si>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</si>
  <si>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</si>
  <si>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</si>
  <si>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</si>
  <si>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</si>
  <si>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</si>
  <si>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</si>
  <si>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</si>
  <si>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</si>
  <si>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</si>
  <si>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</si>
  <si>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</si>
  <si>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</si>
  <si>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</si>
  <si>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</si>
  <si>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</si>
  <si>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</si>
  <si>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</si>
  <si>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</si>
  <si>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</si>
  <si>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</si>
  <si>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</si>
  <si>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</si>
  <si>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</si>
  <si>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</si>
  <si>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</si>
  <si>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</si>
  <si>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</si>
  <si>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</si>
  <si>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</si>
  <si>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</si>
  <si>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</si>
  <si>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</si>
  <si>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</si>
  <si>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</si>
  <si>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</si>
  <si>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</si>
  <si>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</si>
  <si>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</si>
  <si>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</si>
  <si>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</si>
  <si>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</si>
  <si>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</si>
  <si>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</si>
  <si>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</si>
  <si>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</si>
  <si>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</si>
  <si>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</si>
  <si>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</si>
  <si>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</si>
  <si>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</si>
  <si>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</si>
  <si>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</si>
  <si>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</si>
  <si>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</si>
  <si>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</si>
  <si>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</si>
  <si>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</si>
  <si>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</si>
  <si>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</si>
  <si>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</si>
  <si>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</si>
  <si>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</si>
  <si>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</si>
  <si>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</si>
  <si>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</si>
  <si>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</si>
  <si>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</si>
  <si>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</si>
  <si>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</si>
  <si>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</si>
  <si>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</si>
  <si>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</si>
  <si>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</si>
  <si>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</si>
  <si>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</si>
  <si>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</si>
  <si>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</si>
  <si>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</si>
  <si>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</si>
  <si>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</si>
  <si>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</si>
  <si>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</si>
  <si>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</si>
  <si>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</si>
  <si>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</si>
  <si>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</si>
  <si>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</si>
  <si>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</si>
  <si>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</si>
  <si>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</si>
  <si>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</si>
  <si>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</si>
  <si>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</si>
  <si>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</si>
  <si>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</si>
  <si>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</si>
  <si>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</si>
  <si>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</si>
  <si>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</si>
  <si>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</si>
  <si>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</si>
  <si>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</si>
  <si>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</si>
  <si>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</si>
  <si>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</si>
  <si>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</si>
  <si>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</si>
  <si>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</si>
  <si>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</si>
  <si>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</si>
  <si>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</si>
  <si>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</si>
  <si>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</si>
  <si>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</si>
  <si>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</si>
  <si>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</si>
  <si>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</si>
  <si>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</si>
  <si>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</si>
  <si>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</si>
  <si>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</si>
  <si>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</si>
  <si>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</si>
  <si>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</si>
  <si>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</si>
  <si>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</si>
  <si>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</si>
  <si>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</si>
  <si>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</si>
  <si>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</si>
  <si>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</si>
  <si>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</si>
  <si>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</si>
  <si>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</si>
  <si>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</si>
  <si>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</si>
  <si>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</si>
  <si>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</si>
  <si>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</si>
  <si>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</si>
  <si>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</si>
  <si>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</si>
  <si>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</si>
  <si>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</si>
  <si>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</si>
  <si>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</si>
  <si>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</si>
  <si>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</si>
  <si>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</si>
  <si>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</si>
  <si>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</si>
  <si>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</si>
  <si>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</si>
  <si>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</si>
  <si>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</si>
  <si>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</si>
  <si>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</si>
  <si>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</si>
  <si>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</si>
  <si>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</si>
  <si>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</si>
  <si>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</si>
  <si>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</si>
  <si>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</si>
  <si>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</si>
  <si>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</si>
  <si>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</si>
  <si>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</si>
  <si>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</si>
  <si>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</si>
  <si>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</si>
  <si>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</si>
  <si>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</si>
  <si>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</si>
  <si>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</si>
  <si>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</si>
  <si>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</si>
  <si>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</si>
  <si>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</si>
  <si>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</si>
  <si>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</si>
  <si>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</si>
  <si>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</si>
  <si>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</si>
  <si>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</si>
  <si>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</si>
  <si>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</si>
  <si>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</si>
  <si>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</si>
  <si>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</si>
  <si>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</si>
  <si>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</si>
  <si>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</si>
  <si>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</si>
  <si>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</si>
  <si>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</si>
  <si>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</si>
  <si>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</si>
  <si>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</si>
  <si>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</si>
  <si>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</si>
  <si>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</si>
  <si>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</si>
  <si>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</si>
  <si>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</si>
  <si>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</si>
  <si>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</si>
  <si>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</si>
  <si>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</si>
  <si>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</si>
  <si>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</si>
  <si>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</si>
  <si>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</si>
  <si>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</si>
  <si>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</si>
  <si>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</si>
  <si>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</si>
  <si>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</si>
  <si>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</si>
  <si>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</si>
  <si>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</si>
  <si>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</si>
  <si>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</si>
  <si>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</si>
  <si>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</si>
  <si>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</si>
  <si>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</si>
  <si>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</si>
  <si>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</si>
  <si>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</si>
  <si>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</si>
  <si>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</si>
  <si>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</si>
  <si>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</si>
  <si>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</si>
  <si>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</si>
  <si>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</si>
  <si>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</si>
  <si>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</si>
  <si>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</si>
  <si>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</si>
  <si>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</si>
  <si>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</si>
  <si>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</si>
  <si>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</si>
  <si>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</si>
  <si>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</si>
  <si>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</si>
  <si>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</si>
  <si>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</si>
  <si>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</si>
  <si>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</si>
  <si>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</si>
  <si>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</si>
  <si>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</si>
  <si>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</si>
  <si>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</si>
  <si>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</si>
  <si>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</si>
  <si>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</si>
  <si>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</si>
  <si>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</si>
  <si>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</si>
  <si>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</si>
  <si>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</si>
  <si>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</si>
  <si>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</si>
  <si>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</si>
  <si>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</si>
  <si>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</si>
  <si>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</si>
  <si>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</si>
  <si>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</si>
  <si>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</si>
  <si>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</si>
  <si>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</si>
  <si>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</si>
  <si>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</si>
  <si>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</si>
  <si>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</si>
  <si>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</si>
  <si>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</si>
  <si>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</si>
  <si>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</si>
  <si>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</si>
  <si>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</si>
  <si>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</si>
  <si>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</si>
  <si>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</si>
  <si>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</si>
  <si>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</si>
  <si>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</si>
  <si>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</si>
  <si>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</si>
  <si>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</si>
  <si>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</si>
  <si>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</si>
  <si>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</si>
  <si>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</si>
  <si>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</si>
  <si>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</si>
  <si>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</si>
  <si>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</si>
  <si>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</si>
  <si>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</si>
  <si>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</si>
  <si>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</si>
  <si>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</si>
  <si>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</si>
  <si>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</si>
  <si>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</si>
  <si>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</si>
  <si>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</si>
  <si>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</si>
  <si>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</si>
  <si>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</si>
  <si>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</si>
  <si>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</si>
  <si>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</si>
  <si>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</si>
  <si>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</si>
  <si>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</si>
  <si>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</si>
  <si>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</si>
  <si>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</si>
  <si>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</si>
  <si>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</si>
  <si>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</si>
  <si>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</si>
  <si>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</si>
  <si>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</si>
  <si>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</si>
  <si>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</si>
  <si>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</si>
  <si>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</si>
  <si>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</si>
  <si>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</si>
  <si>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</si>
  <si>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</si>
  <si>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</si>
  <si>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</si>
  <si>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</si>
  <si>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</si>
  <si>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</si>
  <si>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</si>
  <si>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</si>
  <si>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</si>
  <si>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</si>
  <si>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</si>
  <si>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</si>
  <si>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</si>
  <si>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</si>
  <si>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</si>
  <si>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</si>
  <si>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</si>
  <si>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</si>
  <si>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</si>
  <si>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</si>
  <si>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</si>
  <si>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</si>
  <si>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</si>
  <si>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</si>
  <si>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</si>
  <si>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</si>
  <si>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</si>
  <si>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</si>
  <si>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</si>
  <si>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</si>
  <si>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</si>
  <si>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</si>
  <si>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</si>
  <si>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</si>
  <si>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</si>
  <si>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</si>
  <si>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</si>
  <si>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</si>
  <si>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</si>
  <si>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</si>
  <si>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</si>
  <si>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</si>
  <si>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</si>
  <si>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</si>
  <si>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</si>
  <si>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</si>
  <si>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</si>
  <si>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</si>
  <si>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</si>
  <si>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</si>
  <si>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</si>
  <si>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</si>
  <si>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</si>
  <si>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</si>
  <si>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</si>
  <si>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</si>
  <si>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</si>
  <si>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</si>
  <si>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</si>
  <si>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</si>
  <si>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</si>
  <si>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</si>
  <si>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</si>
  <si>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</si>
  <si>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</si>
  <si>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</si>
  <si>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</si>
  <si>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</si>
  <si>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</si>
  <si>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</si>
  <si>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</si>
  <si>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</si>
  <si>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</si>
  <si>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</si>
  <si>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</si>
  <si>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</si>
  <si>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</si>
  <si>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</si>
  <si>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</si>
  <si>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</si>
  <si>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</si>
  <si>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</si>
  <si>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</si>
  <si>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</si>
  <si>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</si>
  <si>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</si>
  <si>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</si>
  <si>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</si>
  <si>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</si>
  <si>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</si>
  <si>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</si>
  <si>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</si>
  <si>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</si>
  <si>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</si>
  <si>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</si>
  <si>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</si>
  <si>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</si>
  <si>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</si>
  <si>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</si>
  <si>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</si>
  <si>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</si>
  <si>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</si>
  <si>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</si>
  <si>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</si>
  <si>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</si>
  <si>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</si>
  <si>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</si>
  <si>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</si>
  <si>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</si>
  <si>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</si>
  <si>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</si>
  <si>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</si>
  <si>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</si>
  <si>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</si>
  <si>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</si>
  <si>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</si>
  <si>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</si>
  <si>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</si>
  <si>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</si>
  <si>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</si>
  <si>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</si>
  <si>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</si>
  <si>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</si>
  <si>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</si>
  <si>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</si>
  <si>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</si>
  <si>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</si>
  <si>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</si>
  <si>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</si>
  <si>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</si>
  <si>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</si>
  <si>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</si>
  <si>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</si>
  <si>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</si>
  <si>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</si>
  <si>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</si>
  <si>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</si>
  <si>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</si>
  <si>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</si>
  <si>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</si>
  <si>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</si>
  <si>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</si>
  <si>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</si>
  <si>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</si>
  <si>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</si>
  <si>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</si>
  <si>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</si>
  <si>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</si>
  <si>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</si>
  <si>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</si>
  <si>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</si>
  <si>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</si>
  <si>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</si>
  <si>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</si>
  <si>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</si>
  <si>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</si>
  <si>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</si>
  <si>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</si>
  <si>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</si>
  <si>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</si>
  <si>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</si>
  <si>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</si>
  <si>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</si>
  <si>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</si>
  <si>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</si>
  <si>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</si>
  <si>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</si>
  <si>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</si>
  <si>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</si>
  <si>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</si>
  <si>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</si>
  <si>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</si>
  <si>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</si>
  <si>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</si>
  <si>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</si>
  <si>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</si>
  <si>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</si>
  <si>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</si>
  <si>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</si>
  <si>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</si>
  <si>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</si>
  <si>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</si>
  <si>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</si>
  <si>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</si>
  <si>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</si>
  <si>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</si>
  <si>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</si>
  <si>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</si>
  <si>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</si>
  <si>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</si>
  <si>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</si>
  <si>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</si>
  <si>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</si>
  <si>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</si>
  <si>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</si>
  <si>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</si>
  <si>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</si>
  <si>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</si>
  <si>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</si>
  <si>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</si>
  <si>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</si>
  <si>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</si>
  <si>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</si>
  <si>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</si>
  <si>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</si>
  <si>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</si>
  <si>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</si>
  <si>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</si>
  <si>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</si>
  <si>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</si>
  <si>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</si>
  <si>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</si>
  <si>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</si>
  <si>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</si>
  <si>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</si>
  <si>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</si>
  <si>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</si>
  <si>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</si>
  <si>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</si>
  <si>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</si>
  <si>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</si>
  <si>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</si>
  <si>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</si>
  <si>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</si>
  <si>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</si>
  <si>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</si>
  <si>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</si>
  <si>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</si>
  <si>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</si>
  <si>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</si>
  <si>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</si>
  <si>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</si>
  <si>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</si>
  <si>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</si>
  <si>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</si>
  <si>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</si>
  <si>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</si>
  <si>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</si>
  <si>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</si>
  <si>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</si>
  <si>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</si>
  <si>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</si>
  <si>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</si>
  <si>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</si>
  <si>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</si>
  <si>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</si>
  <si>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</si>
  <si>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</si>
  <si>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</si>
  <si>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</si>
  <si>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</si>
  <si>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</si>
  <si>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</si>
  <si>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</si>
  <si>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</si>
  <si>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</si>
  <si>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</si>
  <si>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</si>
  <si>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</si>
  <si>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</si>
  <si>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</si>
  <si>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</si>
  <si>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</si>
  <si>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</si>
  <si>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</si>
  <si>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</si>
  <si>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</si>
  <si>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</si>
  <si>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</si>
  <si>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</si>
  <si>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</si>
  <si>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</si>
  <si>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</si>
  <si>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</si>
  <si>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</si>
  <si>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</si>
  <si>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</si>
  <si>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</si>
  <si>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</si>
  <si>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</si>
  <si>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</si>
  <si>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</si>
  <si>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</si>
  <si>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</si>
  <si>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</si>
  <si>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</si>
  <si>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</si>
  <si>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</si>
  <si>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</si>
  <si>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</si>
  <si>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</si>
  <si>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</si>
  <si>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</si>
  <si>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</si>
  <si>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</si>
  <si>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</si>
  <si>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</si>
  <si>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</si>
  <si>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</si>
  <si>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</si>
  <si>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</si>
  <si>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</si>
  <si>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</si>
  <si>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</si>
  <si>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</si>
  <si>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</si>
  <si>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</si>
  <si>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</si>
  <si>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</si>
  <si>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</si>
  <si>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</si>
  <si>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</si>
  <si>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</si>
  <si>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</si>
  <si>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</si>
  <si>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</si>
  <si>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</si>
  <si>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</si>
  <si>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</si>
  <si>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</si>
  <si>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</si>
  <si>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</si>
  <si>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</si>
  <si>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</si>
  <si>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</si>
  <si>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</si>
  <si>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</si>
  <si>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</si>
  <si>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</si>
  <si>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</si>
  <si>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</si>
  <si>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</si>
  <si>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</si>
  <si>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</si>
  <si>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</si>
  <si>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</si>
  <si>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</si>
  <si>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</si>
  <si>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</si>
  <si>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</si>
  <si>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</si>
  <si>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</si>
  <si>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</si>
  <si>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</si>
  <si>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</si>
  <si>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</si>
  <si>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</si>
  <si>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</si>
  <si>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</si>
  <si>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</si>
  <si>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</si>
  <si>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</si>
  <si>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</si>
  <si>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</si>
  <si>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</si>
  <si>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</si>
  <si>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</si>
  <si>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</si>
  <si>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</si>
  <si>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</si>
  <si>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</si>
  <si>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</si>
  <si>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</si>
  <si>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</si>
  <si>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</si>
  <si>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</si>
  <si>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</si>
  <si>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</si>
  <si>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</si>
  <si>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</si>
  <si>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</si>
  <si>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</si>
  <si>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</si>
  <si>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</si>
  <si>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</si>
  <si>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</si>
  <si>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</si>
  <si>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</si>
  <si>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</si>
  <si>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</si>
  <si>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</si>
  <si>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</si>
  <si>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</si>
  <si>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</si>
  <si>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</si>
  <si>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</si>
  <si>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</si>
  <si>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</si>
  <si>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</si>
  <si>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</si>
  <si>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</si>
  <si>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</si>
  <si>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</si>
  <si>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</si>
  <si>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</si>
  <si>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</si>
  <si>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</si>
  <si>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</si>
  <si>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</si>
  <si>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</si>
  <si>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</si>
  <si>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</si>
  <si>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</si>
  <si>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</si>
  <si>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</si>
  <si>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</si>
  <si>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</si>
  <si>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</si>
  <si>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</si>
  <si>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</si>
  <si>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</si>
  <si>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</si>
  <si>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</si>
  <si>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</si>
  <si>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</si>
  <si>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</si>
  <si>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</si>
  <si>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</si>
  <si>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</si>
  <si>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</si>
  <si>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</si>
  <si>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</si>
  <si>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</si>
  <si>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</si>
  <si>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</si>
  <si>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</si>
  <si>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</si>
  <si>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</si>
  <si>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</si>
  <si>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</si>
  <si>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</si>
  <si>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</si>
  <si>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</si>
  <si>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</si>
  <si>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</si>
  <si>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</si>
  <si>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</si>
  <si>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</si>
  <si>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</si>
  <si>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</si>
  <si>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</si>
  <si>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</si>
  <si>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</si>
  <si>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</si>
  <si>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</si>
  <si>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</si>
  <si>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</si>
  <si>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</si>
  <si>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</si>
  <si>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</si>
  <si>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</si>
  <si>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</si>
  <si>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</si>
  <si>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</si>
  <si>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</si>
  <si>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</si>
  <si>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</si>
  <si>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</si>
  <si>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</si>
  <si>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</si>
  <si>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</si>
  <si>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</si>
  <si>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</si>
  <si>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</si>
  <si>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</si>
  <si>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</si>
  <si>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</si>
  <si>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</si>
  <si>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</si>
  <si>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</si>
  <si>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</si>
  <si>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</si>
  <si>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</si>
  <si>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</si>
  <si>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</si>
  <si>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</si>
  <si>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</si>
  <si>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</si>
  <si>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</si>
  <si>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</si>
  <si>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</si>
  <si>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</si>
  <si>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</si>
  <si>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</si>
  <si>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</si>
  <si>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</si>
  <si>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</si>
  <si>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</si>
  <si>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</si>
  <si>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</si>
  <si>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</si>
  <si>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</si>
  <si>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</si>
  <si>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</si>
  <si>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</si>
  <si>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</si>
  <si>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</si>
  <si>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</si>
  <si>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</si>
  <si>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</si>
  <si>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</si>
  <si>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</si>
  <si>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</si>
  <si>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</si>
  <si>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</si>
  <si>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</si>
  <si>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</si>
  <si>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</si>
  <si>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</si>
  <si>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</si>
  <si>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</si>
  <si>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</si>
  <si>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</si>
  <si>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</si>
  <si>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</si>
  <si>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</si>
  <si>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</si>
  <si>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</si>
  <si>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</si>
  <si>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</si>
  <si>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</si>
  <si>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</si>
  <si>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</si>
  <si>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</si>
  <si>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</si>
  <si>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</si>
  <si>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</si>
  <si>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</si>
  <si>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</si>
  <si>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</si>
  <si>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</si>
  <si>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</si>
  <si>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</si>
  <si>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</si>
  <si>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</si>
  <si>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</si>
  <si>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</si>
  <si>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</si>
  <si>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</si>
  <si>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</si>
  <si>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</si>
  <si>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</si>
  <si>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</si>
  <si>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</si>
  <si>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</si>
  <si>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</si>
  <si>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</si>
  <si>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</si>
  <si>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</si>
  <si>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</si>
  <si>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</si>
  <si>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</si>
  <si>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</si>
  <si>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</si>
  <si>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</si>
  <si>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</si>
  <si>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</si>
  <si>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</si>
  <si>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</si>
  <si>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</si>
  <si>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</si>
  <si>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</si>
  <si>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</si>
  <si>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</si>
  <si>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</si>
  <si>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</si>
  <si>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</si>
  <si>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</si>
  <si>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</si>
  <si>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</si>
  <si>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</si>
  <si>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</si>
  <si>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</si>
  <si>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</si>
  <si>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</si>
  <si>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</si>
  <si>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</si>
  <si>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</si>
  <si>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</si>
  <si>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</si>
  <si>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</si>
  <si>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</si>
  <si>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</si>
  <si>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</si>
  <si>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</si>
  <si>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</si>
  <si>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</si>
  <si>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</si>
  <si>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</si>
  <si>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</si>
  <si>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</si>
  <si>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</si>
  <si>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</si>
  <si>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</si>
  <si>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</si>
  <si>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</si>
  <si>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</si>
  <si>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</si>
  <si>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</si>
  <si>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</si>
  <si>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</si>
  <si>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</si>
  <si>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</si>
  <si>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</si>
  <si>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</si>
  <si>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</si>
  <si>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</si>
  <si>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</si>
  <si>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</si>
  <si>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</si>
  <si>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</si>
  <si>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</si>
  <si>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</si>
  <si>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</si>
  <si>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</si>
  <si>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</si>
  <si>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</si>
  <si>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</si>
  <si>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</si>
  <si>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</si>
  <si>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</si>
  <si>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</si>
  <si>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</si>
  <si>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</si>
  <si>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</si>
  <si>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</si>
  <si>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</si>
  <si>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</si>
  <si>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</si>
  <si>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</si>
  <si>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</si>
  <si>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</si>
  <si>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</si>
  <si>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</si>
  <si>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</si>
  <si>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</si>
  <si>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</si>
  <si>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</si>
  <si>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</si>
  <si>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</si>
  <si>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</si>
  <si>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</si>
  <si>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</si>
  <si>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</si>
  <si>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</si>
  <si>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</si>
  <si>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</si>
  <si>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</si>
  <si>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</si>
  <si>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</si>
  <si>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</si>
  <si>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</si>
  <si>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</si>
  <si>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</si>
  <si>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</si>
  <si>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</si>
  <si>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</si>
  <si>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</si>
  <si>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</si>
  <si>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</si>
  <si>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</si>
  <si>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</si>
  <si>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</si>
  <si>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</si>
  <si>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</si>
  <si>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</si>
  <si>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</si>
  <si>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</si>
  <si>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</si>
  <si>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</si>
  <si>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</si>
  <si>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</si>
  <si>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</si>
  <si>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</si>
  <si>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</si>
  <si>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</si>
  <si>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</si>
  <si>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</si>
  <si>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</si>
  <si>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</si>
  <si>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</si>
  <si>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</si>
  <si>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</si>
  <si>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</si>
  <si>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</si>
  <si>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</si>
  <si>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</si>
  <si>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</si>
  <si>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</si>
  <si>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</si>
  <si>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</si>
  <si>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</si>
  <si>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</si>
  <si>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</si>
  <si>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</si>
  <si>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</si>
  <si>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</si>
  <si>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</si>
  <si>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</si>
  <si>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</si>
  <si>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</si>
  <si>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</si>
  <si>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</si>
  <si>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</si>
  <si>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</si>
  <si>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</si>
  <si>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</si>
  <si>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</si>
  <si>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</si>
  <si>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</si>
  <si>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</si>
  <si>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</si>
  <si>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</si>
  <si>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</si>
  <si>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</si>
  <si>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</si>
  <si>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</si>
  <si>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</si>
  <si>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</si>
  <si>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</si>
  <si>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</si>
  <si>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</si>
  <si>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</si>
  <si>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</si>
  <si>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</si>
  <si>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</si>
  <si>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</si>
  <si>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</si>
  <si>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</si>
  <si>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</si>
  <si>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</si>
  <si>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</si>
  <si>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</si>
  <si>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</si>
  <si>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</si>
  <si>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</si>
  <si>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</si>
  <si>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</si>
  <si>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</si>
  <si>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</si>
  <si>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</si>
  <si>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</si>
  <si>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</si>
  <si>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</si>
  <si>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</si>
  <si>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</si>
  <si>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</si>
  <si>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</si>
  <si>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</si>
  <si>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</si>
  <si>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</si>
  <si>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</si>
  <si>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</si>
  <si>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</si>
  <si>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</si>
  <si>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</si>
  <si>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</si>
  <si>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</si>
  <si>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</si>
  <si>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</si>
  <si>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</si>
  <si>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</si>
  <si>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</si>
  <si>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</si>
  <si>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</si>
  <si>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</si>
  <si>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</si>
  <si>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</si>
  <si>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</si>
  <si>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</si>
  <si>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</si>
  <si>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</si>
  <si>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</si>
  <si>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</si>
  <si>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</si>
  <si>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</si>
  <si>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</si>
  <si>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</si>
  <si>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</si>
  <si>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</si>
  <si>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</si>
  <si>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</si>
  <si>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</si>
  <si>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</si>
  <si>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</si>
  <si>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</si>
  <si>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</si>
  <si>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</si>
  <si>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</si>
  <si>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</si>
  <si>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</si>
  <si>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</si>
  <si>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</si>
  <si>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</si>
  <si>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</si>
  <si>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</si>
  <si>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</si>
  <si>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</si>
  <si>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</si>
  <si>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</si>
  <si>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</si>
  <si>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</si>
  <si>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</si>
  <si>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</si>
  <si>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</si>
  <si>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</si>
  <si>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</si>
  <si>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</si>
  <si>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</si>
  <si>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</si>
  <si>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</si>
  <si>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</si>
  <si>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</si>
  <si>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</si>
  <si>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</si>
  <si>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</si>
  <si>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</si>
  <si>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</si>
  <si>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</si>
  <si>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</si>
  <si>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</si>
  <si>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</si>
  <si>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</si>
  <si>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</si>
  <si>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</si>
  <si>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</si>
  <si>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</si>
  <si>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</si>
  <si>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</si>
  <si>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</si>
  <si>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</si>
  <si>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</si>
  <si>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</si>
  <si>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</si>
  <si>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</si>
  <si>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</si>
  <si>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</si>
  <si>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</si>
  <si>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</si>
  <si>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</si>
  <si>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</si>
  <si>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</si>
  <si>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</si>
  <si>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</si>
  <si>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</si>
  <si>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</si>
  <si>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</si>
  <si>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</si>
  <si>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</si>
  <si>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</si>
  <si>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</si>
  <si>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</si>
  <si>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</si>
  <si>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</si>
  <si>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</si>
  <si>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</si>
  <si>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</si>
  <si>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</si>
  <si>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</si>
  <si>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</si>
  <si>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</si>
  <si>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</si>
  <si>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</si>
  <si>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</si>
  <si>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</si>
  <si>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</si>
  <si>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</si>
  <si>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</si>
  <si>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</si>
  <si>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</si>
  <si>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</si>
  <si>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</si>
  <si>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</si>
  <si>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</si>
  <si>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</si>
  <si>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</si>
  <si>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</si>
  <si>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</si>
  <si>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</si>
  <si>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</si>
  <si>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</si>
  <si>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</si>
  <si>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</si>
  <si>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</si>
  <si>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</si>
  <si>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</si>
  <si>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</si>
  <si>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</si>
  <si>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</si>
  <si>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</si>
  <si>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</si>
  <si>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</si>
  <si>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</si>
  <si>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</si>
  <si>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</si>
  <si>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</si>
  <si>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</si>
  <si>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</si>
  <si>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</si>
  <si>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</si>
  <si>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</si>
  <si>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</si>
  <si>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</si>
  <si>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</si>
  <si>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</si>
  <si>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</si>
  <si>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</si>
  <si>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</si>
  <si>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</si>
  <si>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</si>
  <si>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</si>
  <si>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</si>
  <si>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</si>
  <si>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</si>
  <si>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</si>
  <si>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</si>
  <si>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</si>
  <si>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</si>
  <si>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</si>
  <si>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</si>
  <si>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</si>
  <si>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</si>
  <si>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</si>
  <si>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</si>
  <si>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</si>
  <si>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</si>
  <si>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</si>
  <si>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</si>
  <si>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</si>
  <si>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</si>
  <si>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</si>
  <si>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</si>
  <si>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</si>
  <si>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</si>
  <si>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</si>
  <si>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</si>
  <si>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</si>
  <si>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</si>
  <si>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</si>
  <si>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</si>
  <si>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</si>
  <si>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</si>
  <si>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</si>
  <si>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</si>
  <si>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</si>
  <si>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</si>
  <si>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</si>
  <si>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</si>
  <si>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</si>
  <si>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</si>
  <si>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</si>
  <si>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</si>
  <si>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</si>
  <si>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</si>
  <si>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</si>
  <si>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</si>
  <si>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</si>
  <si>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</si>
  <si>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</si>
  <si>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</si>
  <si>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</si>
  <si>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</si>
  <si>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</si>
  <si>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</si>
  <si>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</si>
  <si>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</si>
  <si>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</si>
  <si>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</si>
  <si>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</si>
  <si>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</si>
  <si>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</si>
  <si>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</si>
  <si>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</si>
  <si>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</si>
  <si>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</si>
  <si>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</si>
  <si>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</si>
  <si>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</si>
  <si>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</si>
  <si>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</si>
  <si>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</si>
  <si>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</si>
  <si>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</si>
  <si>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</si>
  <si>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</si>
  <si>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</si>
  <si>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</si>
  <si>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</si>
  <si>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</si>
  <si>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</si>
  <si>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</si>
  <si>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</si>
  <si>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</si>
  <si>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</si>
  <si>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</si>
  <si>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</si>
  <si>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</si>
  <si>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</si>
  <si>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</si>
  <si>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</si>
  <si>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</si>
  <si>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</si>
  <si>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</si>
  <si>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</si>
  <si>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</si>
  <si>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</si>
  <si>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</si>
  <si>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</si>
  <si>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</si>
  <si>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</si>
  <si>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</si>
  <si>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</si>
  <si>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</si>
  <si>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</si>
  <si>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</si>
  <si>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</si>
  <si>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</si>
  <si>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</si>
  <si>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</si>
  <si>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</si>
  <si>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</si>
  <si>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</si>
  <si>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</si>
  <si>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</si>
  <si>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</si>
  <si>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</si>
  <si>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</si>
  <si>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</si>
  <si>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</si>
  <si>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</si>
  <si>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</si>
  <si>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</si>
  <si>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</si>
  <si>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</si>
  <si>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</si>
  <si>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</si>
  <si>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</si>
  <si>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</si>
  <si>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</si>
  <si>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</si>
  <si>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</si>
  <si>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</si>
  <si>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</si>
  <si>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</si>
  <si>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</si>
  <si>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</si>
  <si>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</si>
  <si>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</si>
  <si>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</si>
  <si>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</si>
  <si>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</si>
  <si>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</si>
  <si>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</si>
  <si>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</si>
  <si>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</si>
  <si>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</si>
  <si>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</si>
  <si>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</si>
  <si>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</si>
  <si>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</si>
  <si>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</si>
  <si>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</si>
  <si>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</si>
  <si>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</si>
  <si>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</si>
  <si>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</si>
  <si>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</si>
  <si>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</si>
  <si>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</si>
  <si>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</si>
  <si>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</si>
  <si>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</si>
  <si>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</si>
  <si>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</si>
  <si>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</si>
  <si>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</si>
  <si>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</si>
  <si>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</si>
  <si>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</si>
  <si>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</si>
  <si>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</si>
  <si>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</si>
  <si>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</si>
  <si>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</si>
  <si>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</si>
  <si>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</si>
  <si>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</si>
  <si>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</si>
  <si>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</si>
  <si>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</si>
  <si>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</si>
  <si>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</si>
  <si>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</si>
  <si>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</si>
  <si>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</si>
  <si>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</si>
  <si>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</si>
  <si>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</si>
  <si>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</si>
  <si>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</si>
  <si>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</si>
  <si>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</si>
  <si>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</si>
  <si>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</si>
  <si>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</si>
  <si>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</si>
  <si>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</si>
  <si>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</si>
  <si>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</si>
  <si>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</si>
  <si>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</si>
  <si>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</si>
  <si>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</si>
  <si>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</si>
  <si>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</si>
  <si>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</si>
  <si>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</si>
  <si>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</si>
  <si>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</si>
  <si>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</si>
  <si>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</si>
  <si>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</si>
  <si>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</si>
  <si>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</si>
  <si>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</si>
  <si>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</si>
  <si>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</si>
  <si>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</si>
  <si>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</si>
  <si>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</si>
  <si>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</si>
  <si>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</si>
  <si>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</si>
  <si>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</si>
  <si>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</si>
  <si>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</si>
  <si>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</si>
  <si>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</si>
  <si>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</si>
  <si>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</si>
  <si>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</si>
  <si>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</si>
  <si>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</si>
  <si>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</si>
  <si>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</si>
  <si>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</si>
  <si>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</si>
  <si>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</si>
  <si>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</si>
  <si>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</si>
  <si>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</si>
  <si>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</si>
  <si>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</si>
  <si>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</si>
  <si>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</si>
  <si>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</si>
  <si>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</si>
  <si>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</si>
  <si>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</si>
  <si>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</si>
  <si>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</si>
  <si>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</si>
  <si>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</si>
  <si>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</si>
  <si>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</si>
  <si>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</si>
  <si>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</si>
  <si>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</si>
  <si>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</si>
  <si>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</si>
  <si>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</si>
  <si>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</si>
  <si>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</si>
  <si>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</si>
  <si>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</si>
  <si>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</si>
  <si>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</si>
  <si>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</si>
  <si>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</si>
  <si>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</si>
  <si>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</si>
  <si>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</si>
  <si>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</si>
  <si>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</si>
  <si>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</si>
  <si>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</si>
  <si>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</si>
  <si>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</si>
  <si>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</si>
  <si>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</si>
  <si>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</si>
  <si>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</si>
  <si>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</si>
  <si>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</si>
  <si>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</si>
  <si>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</si>
  <si>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</si>
  <si>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</si>
  <si>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</si>
  <si>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</si>
  <si>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</si>
  <si>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</si>
  <si>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</si>
  <si>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</si>
  <si>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</si>
  <si>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</si>
  <si>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</si>
  <si>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</si>
  <si>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</si>
  <si>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</si>
  <si>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</si>
  <si>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</si>
  <si>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</si>
  <si>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</si>
  <si>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</si>
  <si>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</si>
  <si>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</si>
  <si>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</si>
  <si>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</si>
  <si>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</si>
  <si>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</si>
  <si>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</si>
  <si>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</si>
  <si>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</si>
  <si>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</si>
  <si>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</si>
  <si>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</si>
  <si>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</si>
  <si>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</si>
  <si>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</si>
  <si>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</si>
  <si>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</si>
  <si>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</si>
  <si>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</si>
  <si>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</si>
  <si>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</si>
  <si>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</si>
  <si>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</si>
  <si>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</si>
  <si>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</si>
  <si>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</si>
  <si>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</si>
  <si>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</si>
  <si>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</si>
  <si>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</si>
  <si>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</si>
  <si>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</si>
  <si>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</si>
  <si>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</si>
  <si>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</si>
  <si>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</si>
  <si>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</si>
  <si>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</si>
  <si>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</si>
  <si>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</si>
  <si>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</si>
  <si>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</si>
  <si>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</si>
  <si>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</si>
  <si>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</si>
  <si>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</si>
  <si>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</si>
  <si>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</si>
  <si>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</si>
  <si>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</si>
  <si>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</si>
  <si>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</si>
  <si>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</si>
  <si>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</si>
  <si>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</si>
  <si>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</si>
  <si>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</si>
  <si>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</si>
  <si>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</si>
  <si>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</si>
  <si>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</si>
  <si>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</si>
  <si>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</si>
  <si>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</si>
  <si>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</si>
  <si>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</si>
  <si>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</si>
  <si>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</si>
  <si>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</si>
  <si>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</si>
  <si>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</si>
  <si>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</si>
  <si>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</si>
  <si>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</si>
  <si>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</si>
  <si>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</si>
  <si>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</si>
  <si>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</si>
  <si>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</si>
  <si>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</si>
  <si>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</si>
  <si>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</si>
  <si>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</si>
  <si>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</si>
  <si>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</si>
  <si>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</si>
  <si>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</si>
  <si>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</si>
  <si>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</si>
  <si>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</si>
  <si>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</si>
  <si>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</si>
  <si>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</si>
  <si>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</si>
  <si>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</si>
  <si>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</si>
  <si>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</si>
  <si>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</si>
  <si>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</si>
  <si>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</si>
  <si>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</si>
  <si>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</si>
  <si>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</si>
  <si>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</si>
  <si>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</si>
  <si>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</si>
  <si>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</si>
  <si>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</si>
  <si>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</si>
  <si>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</si>
  <si>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</si>
  <si>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</si>
  <si>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</si>
  <si>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</si>
  <si>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</si>
  <si>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</si>
  <si>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</si>
  <si>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</si>
  <si>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</si>
  <si>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</si>
  <si>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</si>
  <si>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</si>
  <si>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</si>
  <si>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</si>
  <si>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</si>
  <si>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</si>
  <si>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</si>
  <si>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</si>
  <si>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</si>
  <si>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</si>
  <si>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</si>
  <si>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</si>
  <si>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</si>
  <si>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</si>
  <si>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</si>
  <si>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</si>
  <si>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</si>
  <si>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</si>
  <si>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</si>
  <si>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</si>
  <si>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</si>
  <si>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</si>
  <si>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</si>
  <si>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</si>
  <si>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</si>
  <si>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</si>
  <si>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</si>
  <si>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</si>
  <si>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</si>
  <si>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</si>
  <si>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</si>
  <si>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</si>
  <si>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</si>
  <si>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</si>
  <si>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</si>
  <si>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</si>
  <si>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</si>
  <si>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</si>
  <si>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</si>
  <si>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</si>
  <si>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</si>
  <si>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</si>
  <si>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</si>
  <si>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</si>
  <si>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</si>
  <si>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</si>
  <si>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</si>
  <si>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</si>
  <si>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</si>
  <si>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</si>
  <si>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</si>
  <si>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</si>
  <si>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</si>
  <si>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</si>
  <si>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</si>
  <si>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</si>
  <si>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</si>
  <si>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</si>
  <si>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</si>
  <si>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</si>
  <si>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</si>
  <si>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</si>
  <si>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</si>
  <si>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</si>
  <si>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</si>
  <si>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</si>
  <si>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</si>
  <si>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</si>
  <si>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</si>
  <si>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</si>
  <si>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</si>
  <si>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</si>
  <si>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</si>
  <si>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</si>
  <si>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</si>
  <si>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</si>
  <si>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</si>
  <si>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</si>
  <si>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</si>
  <si>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</si>
  <si>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</si>
  <si>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</si>
  <si>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</si>
  <si>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</si>
  <si>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</si>
  <si>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</si>
  <si>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</si>
  <si>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</si>
  <si>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</si>
  <si>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</si>
  <si>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</si>
  <si>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</si>
  <si>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</si>
  <si>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</si>
  <si>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</si>
  <si>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</si>
  <si>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</si>
  <si>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</si>
  <si>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</si>
  <si>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</si>
  <si>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</si>
  <si>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</si>
  <si>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</si>
  <si>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</si>
  <si>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</si>
  <si>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</si>
  <si>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</si>
  <si>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</si>
  <si>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</si>
  <si>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</si>
  <si>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</si>
  <si>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</si>
  <si>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</si>
  <si>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</si>
  <si>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</si>
  <si>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</si>
  <si>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</si>
  <si>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</si>
  <si>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</si>
  <si>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</si>
  <si>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</si>
  <si>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</si>
  <si>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</si>
  <si>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</si>
  <si>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</si>
  <si>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</si>
  <si>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</si>
  <si>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</si>
  <si>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</si>
  <si>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</si>
  <si>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</si>
  <si>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</si>
  <si>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</si>
  <si>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</si>
  <si>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</si>
  <si>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</si>
  <si>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</si>
  <si>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</si>
  <si>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</si>
  <si>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</si>
  <si>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</si>
  <si>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</si>
  <si>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</si>
  <si>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</si>
  <si>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</si>
  <si>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</si>
  <si>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</si>
  <si>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</si>
  <si>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</si>
  <si>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</si>
  <si>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</si>
  <si>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</si>
  <si>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</si>
  <si>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</si>
  <si>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</si>
  <si>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</si>
  <si>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</si>
  <si>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</si>
  <si>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</si>
  <si>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</si>
  <si>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</si>
  <si>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</si>
  <si>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</si>
  <si>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</si>
  <si>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</si>
  <si>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</si>
  <si>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</si>
  <si>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</si>
  <si>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</si>
  <si>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</si>
  <si>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</si>
  <si>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</si>
  <si>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</si>
  <si>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</si>
  <si>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</si>
  <si>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</si>
  <si>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</si>
  <si>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</si>
  <si>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</si>
  <si>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</si>
  <si>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</si>
  <si>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</si>
  <si>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</si>
  <si>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</si>
  <si>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</si>
  <si>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</si>
  <si>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</si>
  <si>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</si>
  <si>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</si>
  <si>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</si>
  <si>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</si>
  <si>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</si>
  <si>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</si>
  <si>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</si>
  <si>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</si>
  <si>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</si>
  <si>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</si>
  <si>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</si>
  <si>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</si>
  <si>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</si>
  <si>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</si>
  <si>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</si>
  <si>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</si>
  <si>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</si>
  <si>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</si>
  <si>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</si>
  <si>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</si>
  <si>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</si>
  <si>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</si>
  <si>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</si>
  <si>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</si>
  <si>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</si>
  <si>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</si>
  <si>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</si>
  <si>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</si>
  <si>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</si>
  <si>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</si>
  <si>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</si>
  <si>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</si>
  <si>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</si>
  <si>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</si>
  <si>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</si>
  <si>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</si>
  <si>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</si>
  <si>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</si>
  <si>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</si>
  <si>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</si>
  <si>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</si>
  <si>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</si>
  <si>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</si>
  <si>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</si>
  <si>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</si>
  <si>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</si>
  <si>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</si>
  <si>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</si>
  <si>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</si>
  <si>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</si>
  <si>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</si>
  <si>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</si>
  <si>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</si>
  <si>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</si>
  <si>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</si>
  <si>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</si>
  <si>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</si>
  <si>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</si>
  <si>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</si>
  <si>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</si>
  <si>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</si>
  <si>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</si>
  <si>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</si>
  <si>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</si>
  <si>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</si>
  <si>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</si>
  <si>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</si>
  <si>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</si>
  <si>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</si>
  <si>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</si>
  <si>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</si>
  <si>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</si>
  <si>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</si>
  <si>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</si>
  <si>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</si>
  <si>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</si>
  <si>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</si>
  <si>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</si>
  <si>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</si>
  <si>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</si>
  <si>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</si>
  <si>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</si>
  <si>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</si>
  <si>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</si>
  <si>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</si>
  <si>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</si>
  <si>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</si>
  <si>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</si>
  <si>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</si>
  <si>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</si>
  <si>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</si>
  <si>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</si>
  <si>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</si>
  <si>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</si>
  <si>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</si>
  <si>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</si>
  <si>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</si>
  <si>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</si>
  <si>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</si>
  <si>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</si>
  <si>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</si>
  <si>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</si>
  <si>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</si>
  <si>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</si>
  <si>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</si>
  <si>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</si>
  <si>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</si>
  <si>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</si>
  <si>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</si>
  <si>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</si>
  <si>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</si>
  <si>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</si>
  <si>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</si>
  <si>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</si>
  <si>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</si>
  <si>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</si>
  <si>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</si>
  <si>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</si>
  <si>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</si>
  <si>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</si>
  <si>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</si>
  <si>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</si>
  <si>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</si>
  <si>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</si>
  <si>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</si>
  <si>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</si>
  <si>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</si>
  <si>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</si>
  <si>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</si>
  <si>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</si>
  <si>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</si>
  <si>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</si>
  <si>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</si>
  <si>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</si>
  <si>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</si>
  <si>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</si>
  <si>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</si>
  <si>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</si>
  <si>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</si>
  <si>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</si>
  <si>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</si>
  <si>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</si>
  <si>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</si>
  <si>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</si>
  <si>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</si>
  <si>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</si>
  <si>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</si>
  <si>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</si>
  <si>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</si>
  <si>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</si>
  <si>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</si>
  <si>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</si>
  <si>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</si>
  <si>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</si>
  <si>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</si>
  <si>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</si>
  <si>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</si>
  <si>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</si>
  <si>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</si>
  <si>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</si>
  <si>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</si>
  <si>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</si>
  <si>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</si>
  <si>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</si>
  <si>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</si>
  <si>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</si>
  <si>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</si>
  <si>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</si>
  <si>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</si>
  <si>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</si>
  <si>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</si>
  <si>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</si>
  <si>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</si>
  <si>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</si>
  <si>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</si>
  <si>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</si>
  <si>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</si>
  <si>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</si>
  <si>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</si>
  <si>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</si>
  <si>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</si>
  <si>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</si>
  <si>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</si>
  <si>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</si>
  <si>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</si>
  <si>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</si>
  <si>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</si>
  <si>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</si>
  <si>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</si>
  <si>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</si>
  <si>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</si>
  <si>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</si>
  <si>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</si>
  <si>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</si>
  <si>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</si>
  <si>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</si>
  <si>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</si>
  <si>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</si>
  <si>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</si>
  <si>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</si>
  <si>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</si>
  <si>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</si>
  <si>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</si>
  <si>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</si>
  <si>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</si>
  <si>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</si>
  <si>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</si>
  <si>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</si>
  <si>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</si>
  <si>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</si>
  <si>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</si>
  <si>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</si>
  <si>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</si>
  <si>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</si>
  <si>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</si>
  <si>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</si>
  <si>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</si>
  <si>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</si>
  <si>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</si>
  <si>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</si>
  <si>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</si>
  <si>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</si>
  <si>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</si>
  <si>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</si>
  <si>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</si>
  <si>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</si>
  <si>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</si>
  <si>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</si>
  <si>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</si>
  <si>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</si>
  <si>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</si>
  <si>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</si>
  <si>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</si>
  <si>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</si>
  <si>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</si>
  <si>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</si>
  <si>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</si>
  <si>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</si>
  <si>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</si>
  <si>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</si>
  <si>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</si>
  <si>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</si>
  <si>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</si>
  <si>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</si>
  <si>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</si>
  <si>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</si>
  <si>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</si>
  <si>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</si>
  <si>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</si>
  <si>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</si>
  <si>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</si>
  <si>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</si>
  <si>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</si>
  <si>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</si>
  <si>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</si>
  <si>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</si>
  <si>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</si>
  <si>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</si>
  <si>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</si>
  <si>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</si>
  <si>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</si>
  <si>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</si>
  <si>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</si>
  <si>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</si>
  <si>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</si>
  <si>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</si>
  <si>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</si>
  <si>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</si>
  <si>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</si>
  <si>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</si>
  <si>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</si>
  <si>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</si>
  <si>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</si>
  <si>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</si>
  <si>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</si>
  <si>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</si>
  <si>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</si>
  <si>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</si>
  <si>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</si>
  <si>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</si>
  <si>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</si>
  <si>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</si>
  <si>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</si>
  <si>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</si>
  <si>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</si>
  <si>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</si>
  <si>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</si>
  <si>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</si>
  <si>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</si>
  <si>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</si>
  <si>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</si>
  <si>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</si>
  <si>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</si>
  <si>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</si>
  <si>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</si>
  <si>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</si>
  <si>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</si>
  <si>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</si>
  <si>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</si>
  <si>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</si>
  <si>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</si>
  <si>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</si>
  <si>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</si>
  <si>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</si>
  <si>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</si>
  <si>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</si>
  <si>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</si>
  <si>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</si>
  <si>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</si>
  <si>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</si>
  <si>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</si>
  <si>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</si>
  <si>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</si>
  <si>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</si>
  <si>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</si>
  <si>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</si>
  <si>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</si>
  <si>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</si>
  <si>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</si>
  <si>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</si>
  <si>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</si>
  <si>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</si>
  <si>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</si>
  <si>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</si>
  <si>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</si>
  <si>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</si>
  <si>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</si>
  <si>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</si>
  <si>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</si>
  <si>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</si>
  <si>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</si>
  <si>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</si>
  <si>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</si>
  <si>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</si>
  <si>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</si>
  <si>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</si>
  <si>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</si>
  <si>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</si>
  <si>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</si>
  <si>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</si>
  <si>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</si>
  <si>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</si>
  <si>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</si>
  <si>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</si>
  <si>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</si>
  <si>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</si>
  <si>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</si>
  <si>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</si>
  <si>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</si>
  <si>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</si>
  <si>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</si>
  <si>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</si>
  <si>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</si>
  <si>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</si>
  <si>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</si>
  <si>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</si>
  <si>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</si>
  <si>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</si>
  <si>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</si>
  <si>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</si>
  <si>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</si>
  <si>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</si>
  <si>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</si>
  <si>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</si>
  <si>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</si>
  <si>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</si>
  <si>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</si>
  <si>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</si>
  <si>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</si>
  <si>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</si>
  <si>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</si>
  <si>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</si>
  <si>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</si>
  <si>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</si>
  <si>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</si>
  <si>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</si>
  <si>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</si>
  <si>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</si>
  <si>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</si>
  <si>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</si>
  <si>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</si>
  <si>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</si>
  <si>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</si>
  <si>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</si>
  <si>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</si>
  <si>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</si>
  <si>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</si>
  <si>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</si>
  <si>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</si>
  <si>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</si>
  <si>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</si>
  <si>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</si>
  <si>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</si>
  <si>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</si>
  <si>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</si>
  <si>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</si>
  <si>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</si>
  <si>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</si>
  <si>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</si>
  <si>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</si>
  <si>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</si>
  <si>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</si>
  <si>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</si>
  <si>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</si>
  <si>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</si>
  <si>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</si>
  <si>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</si>
  <si>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</si>
  <si>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</si>
  <si>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</si>
  <si>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</si>
  <si>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</si>
  <si>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</si>
  <si>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</si>
  <si>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</si>
  <si>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</si>
  <si>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</si>
  <si>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</si>
  <si>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</si>
  <si>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</si>
  <si>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</si>
  <si>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</si>
  <si>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</si>
  <si>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</si>
  <si>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</si>
  <si>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</si>
  <si>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</si>
  <si>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</si>
  <si>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</si>
  <si>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</si>
  <si>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</si>
  <si>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</si>
  <si>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</si>
  <si>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</si>
  <si>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</si>
  <si>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</si>
  <si>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</si>
  <si>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</si>
  <si>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</si>
  <si>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</si>
  <si>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</si>
  <si>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</si>
  <si>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</si>
  <si>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</si>
  <si>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</si>
  <si>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</si>
  <si>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</si>
  <si>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</si>
  <si>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</si>
  <si>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</si>
  <si>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</si>
  <si>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</si>
  <si>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</si>
  <si>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</si>
  <si>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</si>
  <si>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</si>
  <si>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</si>
  <si>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</si>
  <si>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</si>
  <si>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</si>
  <si>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</si>
  <si>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</si>
  <si>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</si>
  <si>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</si>
  <si>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</si>
  <si>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</si>
  <si>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</si>
  <si>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</si>
  <si>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</si>
  <si>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</si>
  <si>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</si>
  <si>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</si>
  <si>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</si>
  <si>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</si>
  <si>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</si>
  <si>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</si>
  <si>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</si>
  <si>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</si>
  <si>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</si>
  <si>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</si>
  <si>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</si>
  <si>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</si>
  <si>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</si>
  <si>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</si>
  <si>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</si>
  <si>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</si>
  <si>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</si>
  <si>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</si>
  <si>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</si>
  <si>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</si>
  <si>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</si>
  <si>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</si>
  <si>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</si>
  <si>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</si>
  <si>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</si>
  <si>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</si>
  <si>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</si>
  <si>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</si>
  <si>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</si>
  <si>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</si>
  <si>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</si>
  <si>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</si>
  <si>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</si>
  <si>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</si>
  <si>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</si>
  <si>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</si>
  <si>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</si>
  <si>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</si>
  <si>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</si>
  <si>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</si>
  <si>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</si>
  <si>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</si>
  <si>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</si>
  <si>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</si>
  <si>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</si>
  <si>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</si>
  <si>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</si>
  <si>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</si>
  <si>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</si>
  <si>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</si>
  <si>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</si>
  <si>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</si>
  <si>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</si>
  <si>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</si>
  <si>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</si>
  <si>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</si>
  <si>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</si>
  <si>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</si>
  <si>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</si>
  <si>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</si>
  <si>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</si>
  <si>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</si>
  <si>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</si>
  <si>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</si>
  <si>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</si>
  <si>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</si>
  <si>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</si>
  <si>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</si>
  <si>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</si>
  <si>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</si>
  <si>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</si>
  <si>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</si>
  <si>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</si>
  <si>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</si>
  <si>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</si>
  <si>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</si>
  <si>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</si>
  <si>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</si>
  <si>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</si>
  <si>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</si>
  <si>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</si>
  <si>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</si>
  <si>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</si>
  <si>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</si>
  <si>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</si>
  <si>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</si>
  <si>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</si>
  <si>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</si>
  <si>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</si>
  <si>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</si>
  <si>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</si>
  <si>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</si>
  <si>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</si>
  <si>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</si>
  <si>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</si>
  <si>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</si>
  <si>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</si>
  <si>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</si>
  <si>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</si>
  <si>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</si>
  <si>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</si>
  <si>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</si>
  <si>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</si>
  <si>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</si>
  <si>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</si>
  <si>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</si>
  <si>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</si>
  <si>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</si>
  <si>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</si>
  <si>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</si>
  <si>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</si>
  <si>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</si>
  <si>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</si>
  <si>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</si>
  <si>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</si>
  <si>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</si>
  <si>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</si>
  <si>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</si>
  <si>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</si>
  <si>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</si>
  <si>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</si>
  <si>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</si>
  <si>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</si>
  <si>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</si>
  <si>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</si>
  <si>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</si>
  <si>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</si>
  <si>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</si>
  <si>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</si>
  <si>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</si>
  <si>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</si>
  <si>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</si>
  <si>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</si>
  <si>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</si>
  <si>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</si>
  <si>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</si>
  <si>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</si>
  <si>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</si>
  <si>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</si>
  <si>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</si>
  <si>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</si>
  <si>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</si>
  <si>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</si>
  <si>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</si>
  <si>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</si>
  <si>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</si>
  <si>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</si>
  <si>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</si>
  <si>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</si>
  <si>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</si>
  <si>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</si>
  <si>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</si>
  <si>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</si>
  <si>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</si>
  <si>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</si>
  <si>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</si>
  <si>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</si>
  <si>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</si>
  <si>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</si>
  <si>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</si>
  <si>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</si>
  <si>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</si>
  <si>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</si>
  <si>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</si>
  <si>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</si>
  <si>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</si>
  <si>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</si>
  <si>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</si>
  <si>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</si>
  <si>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</si>
  <si>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</si>
  <si>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</si>
  <si>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</si>
  <si>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</si>
  <si>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</si>
  <si>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</si>
  <si>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</si>
  <si>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</si>
  <si>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</si>
  <si>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</si>
  <si>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</si>
  <si>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</si>
  <si>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</si>
  <si>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</si>
  <si>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</si>
  <si>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</si>
  <si>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</si>
  <si>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</si>
  <si>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</si>
  <si>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</si>
  <si>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</si>
  <si>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</si>
  <si>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</si>
  <si>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</si>
  <si>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</si>
  <si>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</si>
  <si>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</si>
  <si>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</si>
  <si>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</si>
  <si>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</si>
  <si>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</si>
  <si>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</si>
  <si>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</si>
  <si>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</si>
  <si>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</si>
  <si>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</si>
  <si>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</si>
  <si>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</si>
  <si>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</si>
  <si>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</si>
  <si>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</si>
  <si>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</si>
  <si>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</si>
  <si>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</si>
  <si>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</si>
  <si>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</si>
  <si>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</si>
  <si>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</si>
  <si>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</si>
  <si>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</si>
  <si>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</si>
  <si>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</si>
  <si>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</si>
  <si>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</si>
  <si>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</si>
  <si>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</si>
  <si>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</si>
  <si>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</si>
  <si>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</si>
  <si>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</si>
  <si>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</si>
  <si>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</si>
  <si>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</si>
  <si>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</si>
  <si>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</si>
  <si>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</si>
  <si>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</si>
  <si>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</si>
  <si>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</si>
  <si>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</si>
  <si>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</si>
  <si>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</si>
  <si>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</si>
  <si>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</si>
  <si>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</si>
  <si>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</si>
  <si>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</si>
  <si>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</si>
  <si>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</si>
  <si>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</si>
  <si>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</si>
  <si>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</si>
  <si>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</si>
  <si>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</si>
  <si>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</si>
  <si>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</si>
  <si>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</si>
  <si>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</si>
  <si>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</si>
  <si>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</si>
  <si>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</si>
  <si>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</si>
  <si>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</si>
  <si>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</si>
  <si>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</si>
  <si>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</si>
  <si>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</si>
  <si>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</si>
  <si>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</si>
  <si>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</si>
  <si>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</si>
  <si>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</si>
  <si>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</si>
  <si>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</si>
  <si>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</si>
  <si>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</si>
  <si>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</si>
  <si>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</si>
  <si>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</si>
  <si>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</si>
  <si>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</si>
  <si>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</si>
  <si>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</si>
  <si>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</si>
  <si>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</si>
  <si>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</si>
  <si>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</si>
  <si>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</si>
  <si>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</si>
  <si>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</si>
  <si>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</si>
  <si>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</si>
  <si>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</si>
  <si>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</si>
  <si>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</si>
  <si>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</si>
  <si>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</si>
  <si>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</si>
  <si>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</si>
  <si>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</si>
  <si>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</si>
  <si>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</si>
  <si>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</si>
  <si>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</si>
  <si>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</si>
  <si>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</si>
  <si>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</si>
  <si>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</si>
  <si>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</si>
  <si>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</si>
  <si>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</si>
  <si>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</si>
  <si>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</si>
  <si>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</si>
  <si>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</si>
  <si>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</si>
  <si>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</si>
  <si>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</si>
  <si>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</si>
  <si>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</si>
  <si>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</si>
  <si>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</si>
  <si>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</si>
  <si>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</si>
  <si>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</si>
  <si>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</si>
  <si>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</si>
  <si>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</si>
  <si>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</si>
  <si>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</si>
  <si>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</si>
  <si>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</si>
  <si>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</si>
  <si>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</si>
  <si>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</si>
  <si>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</si>
  <si>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</si>
  <si>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</si>
  <si>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</si>
  <si>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</si>
  <si>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</si>
  <si>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</si>
  <si>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</si>
  <si>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</si>
  <si>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</si>
  <si>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</si>
  <si>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</si>
  <si>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</si>
  <si>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</si>
  <si>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</si>
  <si>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</si>
  <si>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</si>
  <si>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</si>
  <si>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</si>
  <si>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</si>
  <si>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</si>
  <si>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</si>
  <si>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</si>
  <si>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</si>
  <si>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</si>
  <si>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</si>
  <si>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</si>
  <si>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</si>
  <si>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</si>
  <si>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</si>
  <si>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</si>
  <si>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</si>
  <si>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</si>
  <si>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</si>
  <si>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</si>
  <si>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</si>
  <si>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</si>
  <si>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</si>
  <si>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</si>
  <si>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</si>
  <si>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</si>
  <si>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</si>
  <si>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</si>
  <si>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</si>
  <si>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</si>
  <si>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</si>
  <si>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</si>
  <si>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</si>
  <si>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</si>
  <si>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</si>
  <si>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</si>
  <si>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</si>
  <si>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</si>
  <si>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</si>
  <si>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</si>
  <si>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</si>
  <si>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</si>
  <si>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</si>
  <si>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</si>
  <si>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</si>
  <si>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</si>
  <si>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</si>
  <si>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</si>
  <si>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</si>
  <si>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</si>
  <si>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</si>
  <si>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</si>
  <si>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</si>
  <si>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</si>
  <si>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</si>
  <si>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</si>
  <si>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</si>
  <si>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</si>
  <si>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</si>
  <si>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</si>
  <si>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</si>
  <si>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</si>
  <si>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</si>
  <si>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</si>
  <si>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</si>
  <si>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</si>
  <si>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</si>
  <si>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</si>
  <si>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</si>
  <si>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</si>
  <si>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</si>
  <si>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</si>
  <si>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</si>
  <si>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</si>
  <si>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</si>
  <si>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</si>
  <si>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</si>
  <si>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</si>
  <si>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</si>
  <si>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</si>
  <si>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</si>
  <si>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</si>
  <si>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</si>
  <si>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</si>
  <si>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</si>
  <si>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</si>
  <si>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</si>
  <si>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</si>
  <si>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</si>
  <si>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</si>
  <si>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</si>
  <si>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</si>
  <si>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</si>
  <si>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</si>
  <si>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</si>
  <si>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</si>
  <si>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</si>
  <si>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</si>
  <si>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</si>
  <si>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</si>
  <si>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</si>
  <si>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</si>
  <si>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</si>
  <si>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</si>
  <si>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</si>
  <si>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</si>
  <si>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</si>
  <si>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</si>
  <si>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</si>
  <si>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</si>
  <si>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</si>
  <si>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</si>
  <si>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</si>
  <si>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</si>
  <si>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</si>
  <si>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</si>
  <si>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</si>
  <si>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</si>
  <si>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</si>
  <si>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</si>
  <si>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</si>
  <si>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</si>
  <si>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</si>
  <si>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</si>
  <si>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</si>
  <si>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</si>
  <si>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</si>
  <si>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</si>
  <si>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</si>
  <si>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</si>
  <si>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</si>
  <si>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</si>
  <si>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</si>
  <si>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</si>
  <si>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</si>
  <si>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</si>
  <si>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</si>
  <si>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</si>
  <si>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</si>
  <si>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</si>
  <si>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</si>
  <si>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</si>
  <si>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</si>
  <si>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</si>
  <si>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</si>
  <si>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</si>
  <si>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</si>
  <si>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</si>
  <si>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</si>
  <si>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</si>
  <si>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</si>
  <si>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</si>
  <si>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</si>
  <si>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</si>
  <si>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</si>
  <si>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</si>
  <si>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</si>
  <si>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</si>
  <si>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</si>
  <si>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</si>
  <si>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</si>
  <si>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</si>
  <si>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</si>
  <si>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</si>
  <si>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</si>
  <si>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</si>
  <si>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</si>
  <si>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</si>
  <si>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</si>
  <si>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</si>
  <si>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</si>
  <si>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</si>
  <si>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</si>
  <si>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</si>
  <si>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</si>
  <si>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</si>
  <si>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</si>
  <si>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</si>
  <si>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</si>
  <si>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</si>
  <si>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</si>
  <si>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</si>
  <si>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</si>
  <si>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</si>
  <si>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</si>
  <si>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</si>
  <si>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</si>
  <si>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</si>
  <si>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</si>
  <si>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</si>
  <si>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</si>
  <si>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</si>
  <si>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</si>
  <si>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</si>
  <si>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</si>
  <si>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</si>
  <si>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</si>
  <si>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</si>
  <si>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</si>
  <si>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</si>
  <si>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</si>
  <si>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</si>
  <si>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</si>
  <si>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</si>
  <si>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</si>
  <si>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</si>
  <si>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</si>
  <si>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</si>
  <si>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</si>
  <si>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</si>
  <si>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</si>
  <si>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</si>
  <si>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</si>
  <si>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</si>
  <si>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</si>
  <si>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</si>
  <si>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</si>
  <si>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</si>
  <si>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</si>
  <si>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</si>
  <si>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</si>
  <si>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</si>
  <si>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</si>
  <si>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</si>
  <si>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</si>
  <si>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</si>
  <si>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</si>
  <si>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</si>
  <si>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</si>
  <si>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</si>
  <si>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</si>
  <si>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</si>
  <si>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</si>
  <si>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</si>
  <si>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</si>
  <si>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</si>
  <si>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</si>
  <si>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</si>
  <si>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</si>
  <si>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</si>
  <si>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</si>
  <si>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</si>
  <si>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</si>
  <si>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</si>
  <si>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</si>
  <si>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</si>
  <si>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</si>
  <si>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</si>
  <si>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</si>
  <si>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</si>
  <si>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</si>
  <si>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</si>
  <si>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</si>
  <si>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</si>
  <si>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</si>
  <si>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</si>
  <si>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</si>
  <si>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</si>
  <si>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</si>
  <si>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</si>
  <si>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</si>
  <si>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</si>
  <si>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</si>
  <si>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</si>
  <si>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</si>
  <si>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</si>
  <si>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</si>
  <si>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</si>
  <si>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</si>
  <si>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</si>
  <si>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</si>
  <si>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</si>
  <si>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</si>
  <si>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</si>
  <si>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</si>
  <si>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</si>
  <si>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</si>
  <si>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</si>
  <si>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</si>
  <si>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</si>
  <si>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</si>
  <si>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</si>
  <si>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</si>
  <si>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</si>
  <si>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</si>
  <si>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</si>
  <si>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</si>
  <si>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</si>
  <si>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</si>
  <si>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</si>
  <si>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</si>
  <si>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</si>
  <si>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</si>
  <si>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</si>
  <si>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</si>
  <si>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</si>
  <si>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</si>
  <si>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</si>
  <si>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</si>
  <si>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</si>
  <si>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</si>
  <si>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</si>
  <si>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</si>
  <si>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</si>
  <si>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</si>
  <si>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</si>
  <si>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</si>
  <si>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</si>
  <si>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</si>
  <si>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</si>
  <si>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</si>
  <si>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</si>
  <si>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</si>
  <si>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</si>
  <si>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</si>
  <si>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</si>
  <si>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</si>
  <si>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</si>
  <si>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</si>
  <si>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</si>
  <si>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</si>
  <si>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</si>
  <si>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</si>
  <si>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</si>
  <si>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</si>
  <si>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</si>
  <si>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</si>
  <si>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</si>
  <si>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</si>
  <si>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</si>
  <si>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</si>
  <si>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</si>
  <si>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</si>
  <si>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</si>
  <si>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</si>
  <si>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</si>
  <si>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</si>
  <si>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</si>
  <si>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</si>
  <si>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</si>
  <si>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</si>
  <si>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</si>
  <si>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</si>
  <si>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</si>
  <si>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</si>
  <si>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</si>
  <si>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</si>
  <si>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</si>
  <si>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</si>
  <si>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</si>
  <si>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</si>
  <si>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</si>
  <si>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</si>
  <si>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</si>
  <si>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</si>
  <si>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</si>
  <si>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</si>
  <si>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</si>
  <si>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</si>
  <si>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</si>
  <si>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</si>
  <si>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</si>
  <si>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</si>
  <si>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</si>
  <si>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</si>
  <si>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</si>
  <si>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</si>
  <si>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</si>
  <si>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</si>
  <si>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</si>
  <si>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</si>
  <si>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</si>
  <si>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</si>
  <si>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</si>
  <si>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</si>
  <si>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</si>
  <si>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</si>
  <si>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</si>
  <si>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</si>
  <si>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</si>
  <si>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</si>
  <si>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</si>
  <si>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</si>
  <si>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</si>
  <si>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</si>
  <si>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</si>
  <si>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</si>
  <si>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</si>
  <si>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</si>
  <si>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</si>
  <si>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</si>
  <si>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</si>
  <si>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</si>
  <si>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</si>
  <si>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</si>
  <si>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</si>
  <si>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</si>
  <si>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</si>
  <si>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</si>
  <si>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</si>
  <si>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</si>
  <si>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</si>
  <si>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</si>
  <si>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</si>
  <si>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</si>
  <si>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</si>
  <si>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</si>
  <si>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</si>
  <si>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</si>
  <si>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</si>
  <si>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</si>
  <si>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</si>
  <si>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</si>
  <si>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</si>
  <si>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</si>
  <si>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</si>
  <si>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</si>
  <si>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</si>
  <si>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</si>
  <si>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</si>
  <si>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</si>
  <si>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</si>
  <si>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</si>
  <si>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</si>
  <si>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</si>
  <si>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</si>
  <si>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</si>
  <si>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</si>
  <si>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</si>
  <si>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</si>
  <si>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</si>
  <si>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</si>
  <si>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</si>
  <si>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</si>
  <si>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</si>
  <si>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</si>
  <si>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</si>
  <si>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</si>
  <si>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</si>
  <si>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</si>
  <si>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</si>
  <si>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</si>
  <si>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</si>
  <si>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</si>
  <si>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</si>
  <si>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</si>
  <si>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</si>
  <si>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</si>
  <si>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</si>
  <si>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</si>
  <si>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</si>
  <si>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</si>
  <si>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</si>
  <si>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</si>
  <si>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</si>
  <si>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</si>
  <si>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</si>
  <si>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</si>
  <si>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</si>
  <si>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</si>
  <si>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</si>
  <si>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</si>
  <si>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</si>
  <si>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</si>
  <si>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</si>
  <si>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</si>
  <si>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</si>
  <si>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</si>
  <si>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</si>
  <si>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</si>
  <si>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</si>
  <si>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</si>
  <si>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</si>
  <si>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</si>
  <si>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</si>
  <si>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</si>
  <si>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</si>
  <si>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</si>
  <si>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</si>
  <si>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</si>
  <si>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</si>
  <si>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</si>
  <si>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</si>
  <si>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</si>
  <si>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</si>
  <si>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</si>
  <si>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</si>
  <si>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</si>
  <si>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</si>
  <si>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</si>
  <si>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</si>
  <si>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</si>
  <si>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</si>
  <si>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</si>
  <si>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</si>
  <si>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</si>
  <si>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</si>
  <si>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</si>
  <si>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</si>
  <si>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</si>
  <si>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</si>
  <si>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</si>
  <si>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</si>
  <si>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</si>
  <si>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</si>
  <si>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</si>
  <si>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</si>
  <si>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</si>
  <si>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</si>
  <si>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</si>
  <si>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</si>
  <si>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</si>
  <si>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</si>
  <si>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</si>
  <si>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</si>
  <si>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</si>
  <si>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</si>
  <si>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</si>
  <si>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</si>
  <si>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</si>
  <si>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</si>
  <si>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</si>
  <si>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</si>
  <si>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</si>
  <si>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</si>
  <si>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</si>
  <si>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</si>
  <si>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</si>
  <si>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</si>
  <si>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</si>
  <si>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</si>
  <si>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</si>
  <si>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</si>
  <si>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</si>
  <si>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</si>
  <si>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</si>
  <si>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</si>
  <si>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</si>
  <si>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</si>
  <si>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</si>
  <si>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</si>
  <si>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</si>
  <si>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</si>
  <si>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</si>
  <si>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</si>
  <si>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</si>
  <si>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</si>
  <si>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</si>
  <si>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</si>
  <si>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</si>
  <si>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</si>
  <si>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</si>
  <si>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</si>
  <si>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</si>
  <si>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</si>
  <si>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</si>
  <si>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</si>
  <si>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</si>
  <si>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</si>
  <si>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</si>
  <si>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</si>
  <si>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</si>
  <si>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</si>
  <si>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</si>
  <si>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</si>
  <si>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</si>
  <si>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</si>
  <si>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</si>
  <si>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</si>
  <si>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</si>
  <si>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</si>
  <si>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</si>
  <si>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</si>
  <si>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</si>
  <si>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</si>
  <si>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</si>
  <si>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</si>
  <si>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</si>
  <si>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</si>
  <si>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</si>
  <si>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</si>
  <si>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</si>
  <si>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</si>
  <si>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</si>
  <si>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</si>
  <si>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</si>
  <si>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</si>
  <si>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</si>
  <si>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</si>
  <si>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</si>
  <si>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</si>
  <si>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</si>
  <si>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</si>
  <si>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</si>
  <si>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</si>
  <si>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</si>
  <si>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</si>
  <si>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</si>
  <si>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</si>
  <si>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</si>
  <si>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</si>
  <si>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</si>
  <si>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</si>
  <si>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</si>
  <si>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</si>
  <si>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</si>
  <si>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</si>
  <si>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</si>
  <si>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</si>
  <si>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</si>
  <si>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</si>
  <si>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</si>
  <si>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</si>
  <si>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</si>
  <si>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</si>
  <si>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</si>
  <si>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</si>
  <si>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</si>
  <si>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</si>
  <si>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</si>
  <si>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</si>
  <si>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</si>
  <si>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</si>
  <si>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</si>
  <si>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</si>
  <si>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</si>
  <si>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</si>
  <si>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</si>
  <si>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</si>
  <si>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</si>
  <si>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</si>
  <si>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</si>
  <si>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</si>
  <si>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</si>
  <si>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</si>
  <si>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</si>
  <si>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</si>
  <si>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</si>
  <si>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</si>
  <si>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</si>
  <si>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</si>
  <si>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</si>
  <si>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</si>
  <si>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</si>
  <si>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</si>
  <si>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</si>
  <si>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</si>
  <si>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</si>
  <si>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</si>
  <si>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</si>
  <si>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</si>
  <si>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</si>
  <si>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</si>
  <si>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</si>
  <si>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</si>
  <si>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</si>
  <si>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</si>
  <si>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</si>
  <si>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</si>
  <si>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</si>
  <si>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</si>
  <si>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</si>
  <si>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</si>
  <si>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</si>
  <si>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</si>
  <si>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</si>
  <si>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</si>
  <si>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</si>
  <si>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</si>
  <si>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</si>
  <si>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</si>
  <si>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</si>
  <si>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</si>
  <si>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</si>
  <si>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</si>
  <si>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</si>
  <si>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</si>
  <si>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</si>
  <si>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</si>
  <si>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</si>
  <si>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</si>
  <si>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</si>
  <si>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</si>
  <si>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</si>
  <si>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</si>
  <si>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</si>
  <si>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</si>
  <si>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</si>
  <si>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</si>
  <si>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</si>
  <si>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</si>
  <si>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</si>
  <si>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</si>
  <si>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</si>
  <si>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</si>
  <si>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</si>
  <si>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</si>
  <si>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</si>
  <si>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</si>
  <si>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</si>
  <si>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</si>
  <si>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</si>
  <si>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</si>
  <si>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</si>
  <si>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</si>
  <si>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</si>
  <si>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</si>
  <si>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</si>
  <si>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</si>
  <si>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</si>
  <si>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</si>
  <si>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</si>
  <si>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</si>
  <si>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</si>
  <si>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</si>
  <si>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</si>
  <si>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</si>
  <si>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</si>
  <si>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</si>
  <si>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</si>
  <si>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</si>
  <si>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</si>
  <si>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</si>
  <si>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</si>
  <si>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</si>
  <si>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</si>
  <si>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</si>
  <si>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</si>
  <si>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</si>
  <si>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</si>
  <si>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</si>
  <si>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</si>
  <si>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</si>
  <si>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</si>
  <si>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</si>
  <si>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</si>
  <si>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</si>
  <si>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</si>
  <si>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</si>
  <si>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</si>
  <si>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</si>
  <si>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</si>
  <si>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</si>
  <si>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</si>
  <si>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</si>
  <si>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</si>
  <si>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</si>
  <si>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</si>
  <si>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</si>
  <si>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</si>
  <si>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</si>
  <si>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</si>
  <si>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</si>
  <si>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</si>
  <si>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</si>
  <si>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</si>
  <si>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</si>
  <si>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</si>
  <si>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</si>
  <si>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</si>
  <si>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</si>
  <si>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</si>
  <si>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</si>
  <si>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</si>
  <si>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</si>
  <si>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</si>
  <si>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</si>
  <si>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</si>
  <si>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</si>
  <si>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</si>
  <si>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</si>
  <si>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</si>
  <si>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</si>
  <si>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</si>
  <si>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</si>
  <si>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</si>
  <si>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</si>
  <si>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</si>
  <si>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</si>
  <si>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</si>
  <si>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</si>
  <si>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</si>
  <si>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</si>
  <si>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</si>
  <si>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</si>
  <si>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</si>
  <si>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</si>
  <si>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</si>
  <si>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</si>
  <si>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</si>
  <si>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</si>
  <si>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</si>
  <si>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</si>
  <si>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</si>
  <si>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</si>
  <si>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</si>
  <si>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</si>
  <si>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</si>
  <si>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</si>
  <si>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</si>
  <si>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</si>
  <si>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</si>
  <si>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</si>
  <si>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</si>
  <si>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</si>
  <si>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</si>
  <si>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</si>
  <si>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</si>
  <si>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</si>
  <si>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</si>
  <si>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</si>
  <si>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</si>
  <si>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</si>
  <si>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</si>
  <si>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</si>
  <si>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</si>
  <si>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</si>
  <si>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</si>
  <si>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</si>
  <si>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</si>
  <si>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</si>
  <si>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</si>
  <si>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</si>
  <si>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</si>
  <si>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</si>
  <si>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</si>
  <si>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</si>
  <si>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</si>
  <si>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</si>
  <si>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</si>
  <si>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</si>
  <si>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</si>
  <si>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</si>
  <si>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</si>
  <si>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</si>
  <si>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</si>
  <si>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</si>
  <si>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</si>
  <si>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</si>
  <si>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</si>
  <si>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</si>
  <si>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</si>
  <si>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</si>
  <si>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</si>
  <si>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</si>
  <si>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</si>
  <si>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</si>
  <si>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</si>
  <si>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</si>
  <si>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</si>
  <si>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</si>
  <si>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</si>
  <si>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</si>
  <si>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</si>
  <si>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</si>
  <si>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</si>
  <si>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</si>
  <si>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</si>
  <si>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</si>
  <si>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</si>
  <si>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</si>
  <si>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</si>
  <si>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</si>
  <si>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</si>
  <si>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</si>
  <si>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</si>
  <si>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</si>
  <si>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</si>
  <si>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</si>
  <si>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</si>
  <si>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</si>
  <si>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</si>
  <si>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</si>
  <si>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</si>
  <si>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</si>
  <si>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</si>
  <si>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</si>
  <si>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</si>
  <si>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</si>
  <si>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</si>
  <si>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</si>
  <si>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</si>
  <si>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</si>
  <si>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</si>
  <si>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</si>
  <si>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</si>
  <si>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</si>
  <si>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</si>
  <si>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</si>
  <si>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</si>
  <si>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</si>
  <si>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</si>
  <si>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</si>
  <si>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</si>
  <si>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</si>
  <si>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</si>
  <si>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</si>
  <si>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</si>
  <si>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</si>
  <si>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</si>
  <si>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</si>
  <si>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</si>
  <si>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</si>
  <si>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</si>
  <si>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</si>
  <si>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</si>
  <si>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</si>
  <si>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</si>
  <si>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</si>
  <si>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</si>
  <si>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</si>
  <si>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</si>
  <si>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</si>
  <si>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</si>
  <si>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</si>
  <si>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</si>
  <si>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</si>
  <si>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</si>
  <si>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</si>
  <si>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</si>
  <si>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</si>
  <si>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</si>
  <si>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</si>
  <si>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</si>
  <si>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</si>
  <si>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</si>
  <si>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</si>
  <si>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</si>
  <si>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</si>
  <si>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</si>
  <si>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</si>
  <si>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</si>
  <si>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</si>
  <si>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</si>
  <si>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</si>
  <si>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</si>
  <si>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</si>
  <si>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</si>
  <si>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</si>
  <si>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</si>
  <si>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</si>
  <si>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</si>
  <si>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</si>
  <si>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</si>
  <si>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</si>
  <si>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</si>
  <si>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</si>
  <si>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</si>
  <si>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</si>
  <si>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</si>
  <si>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</si>
  <si>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</si>
  <si>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</si>
  <si>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</si>
  <si>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</si>
  <si>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</si>
  <si>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</si>
  <si>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</si>
  <si>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</si>
  <si>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</si>
  <si>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</si>
  <si>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</si>
  <si>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</si>
  <si>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</si>
  <si>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</si>
  <si>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</si>
  <si>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</si>
  <si>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</si>
  <si>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</si>
  <si>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</si>
  <si>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</si>
  <si>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</si>
  <si>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</si>
  <si>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</si>
  <si>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</si>
  <si>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</si>
  <si>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</si>
  <si>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</si>
  <si>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</si>
  <si>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</si>
  <si>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</si>
  <si>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</si>
  <si>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</si>
  <si>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</si>
  <si>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</si>
  <si>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</si>
  <si>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</si>
  <si>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</si>
  <si>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</si>
  <si>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</si>
  <si>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</si>
  <si>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</si>
  <si>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</si>
  <si>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</si>
  <si>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</si>
  <si>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</si>
  <si>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</si>
  <si>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</si>
  <si>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</si>
  <si>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</si>
  <si>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</si>
  <si>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</si>
  <si>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</si>
  <si>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</si>
  <si>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</si>
  <si>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</si>
  <si>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</si>
  <si>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</si>
  <si>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</si>
  <si>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</si>
  <si>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</si>
  <si>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</si>
  <si>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</si>
  <si>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</si>
  <si>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</si>
  <si>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</si>
  <si>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</si>
  <si>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</si>
  <si>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</si>
  <si>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</si>
  <si>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</si>
  <si>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</si>
  <si>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</si>
  <si>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</si>
  <si>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</si>
  <si>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</si>
  <si>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</si>
  <si>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</si>
  <si>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</si>
  <si>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</si>
  <si>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</si>
  <si>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</si>
  <si>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</si>
  <si>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</si>
  <si>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</si>
  <si>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</si>
  <si>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</si>
  <si>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</si>
  <si>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</si>
  <si>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</si>
  <si>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</si>
  <si>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</si>
  <si>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</si>
  <si>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</si>
  <si>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</si>
  <si>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</si>
  <si>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</si>
  <si>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</si>
  <si>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</si>
  <si>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</si>
  <si>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</si>
  <si>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</si>
  <si>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</si>
  <si>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</si>
  <si>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</si>
  <si>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</si>
  <si>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</si>
  <si>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</si>
  <si>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</si>
  <si>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</si>
  <si>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</si>
  <si>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</si>
  <si>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</si>
  <si>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</si>
  <si>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</si>
  <si>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</si>
  <si>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</si>
  <si>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</si>
  <si>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</si>
  <si>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</si>
  <si>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</si>
  <si>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</si>
  <si>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</si>
  <si>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</si>
  <si>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</si>
  <si>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</si>
  <si>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</si>
  <si>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</si>
  <si>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</si>
  <si>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</si>
  <si>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</si>
  <si>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</si>
  <si>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</si>
  <si>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</si>
  <si>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</si>
  <si>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</si>
  <si>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</si>
  <si>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</si>
  <si>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</si>
  <si>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</si>
  <si>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</si>
  <si>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</si>
  <si>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</si>
  <si>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</si>
  <si>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</si>
  <si>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</si>
  <si>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</si>
  <si>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</si>
  <si>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</si>
  <si>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</si>
  <si>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</si>
  <si>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</si>
  <si>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</si>
  <si>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</si>
  <si>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</si>
  <si>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</si>
  <si>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</si>
  <si>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</si>
  <si>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</si>
  <si>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</si>
  <si>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</si>
  <si>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</si>
  <si>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</si>
  <si>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</si>
  <si>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</si>
  <si>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</si>
  <si>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</si>
  <si>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</si>
  <si>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</si>
  <si>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</si>
  <si>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</si>
  <si>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</si>
  <si>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</si>
  <si>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</si>
  <si>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</si>
  <si>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</si>
  <si>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</si>
  <si>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</si>
  <si>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</si>
  <si>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</si>
  <si>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</si>
  <si>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</si>
  <si>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</si>
  <si>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</si>
  <si>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</si>
  <si>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</si>
  <si>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</si>
  <si>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</si>
  <si>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</si>
  <si>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</si>
  <si>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</si>
  <si>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</si>
  <si>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</si>
  <si>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</si>
  <si>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</si>
  <si>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</si>
  <si>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</si>
  <si>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</si>
  <si>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</si>
  <si>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</si>
  <si>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</si>
  <si>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</si>
  <si>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</si>
  <si>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</si>
  <si>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</si>
  <si>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</si>
  <si>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</si>
  <si>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</si>
  <si>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</si>
  <si>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</si>
  <si>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</si>
  <si>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</si>
  <si>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</si>
  <si>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</si>
  <si>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</si>
  <si>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</si>
  <si>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</si>
  <si>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</si>
  <si>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</si>
  <si>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</si>
  <si>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</si>
  <si>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</si>
  <si>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</si>
  <si>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</si>
  <si>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</si>
  <si>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</si>
  <si>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</si>
  <si>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</si>
  <si>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</si>
  <si>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</si>
  <si>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</si>
  <si>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</si>
  <si>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</si>
  <si>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</si>
  <si>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</si>
  <si>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</si>
  <si>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</si>
  <si>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</si>
  <si>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</si>
  <si>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</si>
  <si>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</si>
  <si>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</si>
  <si>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</si>
  <si>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</si>
  <si>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</si>
  <si>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</si>
  <si>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</si>
  <si>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</si>
  <si>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</si>
  <si>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</si>
  <si>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</si>
  <si>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</si>
  <si>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</si>
  <si>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</si>
  <si>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</si>
  <si>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</si>
  <si>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</si>
  <si>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</si>
  <si>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</si>
  <si>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</si>
  <si>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</si>
  <si>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</si>
  <si>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</si>
  <si>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</si>
  <si>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</si>
  <si>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</si>
  <si>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</si>
  <si>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</si>
  <si>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</si>
  <si>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</si>
  <si>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</si>
  <si>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</si>
  <si>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</si>
  <si>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</si>
  <si>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</si>
  <si>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</si>
  <si>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</si>
  <si>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</si>
  <si>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</si>
  <si>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</si>
  <si>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</si>
  <si>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</si>
  <si>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</si>
  <si>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</si>
  <si>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</si>
  <si>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</si>
  <si>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</si>
  <si>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</si>
  <si>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</si>
  <si>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</si>
  <si>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</si>
  <si>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</si>
  <si>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</si>
  <si>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</si>
  <si>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</si>
  <si>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</si>
  <si>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</si>
  <si>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</si>
  <si>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</si>
  <si>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</si>
  <si>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</si>
  <si>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</si>
  <si>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</si>
  <si>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</si>
  <si>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</si>
  <si>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</si>
  <si>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</si>
  <si>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</si>
  <si>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</si>
  <si>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</si>
  <si>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</si>
  <si>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</si>
  <si>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</si>
  <si>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</si>
  <si>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</si>
  <si>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</si>
  <si>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</si>
  <si>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</si>
  <si>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</si>
  <si>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</si>
  <si>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</si>
  <si>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</si>
  <si>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</si>
  <si>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</si>
  <si>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</si>
  <si>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</si>
  <si>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</si>
  <si>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</si>
  <si>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</si>
  <si>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</si>
  <si>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</si>
  <si>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</si>
  <si>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</si>
  <si>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</si>
  <si>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</si>
  <si>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</si>
  <si>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</si>
  <si>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</si>
  <si>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</si>
  <si>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</si>
  <si>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</si>
  <si>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</si>
  <si>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</si>
  <si>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</si>
  <si>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</si>
  <si>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</si>
  <si>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</si>
  <si>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</si>
  <si>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</si>
  <si>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</si>
  <si>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</si>
  <si>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</si>
  <si>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</si>
  <si>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</si>
  <si>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</si>
  <si>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</si>
  <si>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</si>
  <si>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</si>
  <si>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</si>
  <si>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</si>
  <si>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</si>
  <si>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</si>
  <si>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</si>
  <si>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</si>
  <si>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</si>
  <si>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</si>
  <si>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</si>
  <si>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</si>
  <si>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</si>
  <si>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</si>
  <si>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</si>
  <si>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</si>
  <si>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</si>
  <si>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</si>
  <si>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</si>
  <si>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</si>
  <si>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</si>
  <si>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</si>
  <si>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</si>
  <si>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</si>
  <si>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</si>
  <si>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</si>
  <si>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</si>
  <si>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</si>
  <si>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</si>
  <si>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</si>
  <si>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</si>
  <si>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</si>
  <si>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</si>
  <si>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</si>
  <si>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</si>
  <si>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</si>
  <si>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</si>
  <si>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</si>
  <si>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</si>
  <si>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</si>
  <si>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</si>
  <si>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</si>
  <si>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</si>
  <si>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</si>
  <si>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</si>
  <si>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</si>
  <si>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</si>
  <si>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</si>
  <si>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</si>
  <si>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</si>
  <si>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</si>
  <si>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</si>
  <si>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</si>
  <si>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</si>
  <si>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</si>
  <si>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</si>
  <si>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</si>
  <si>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</si>
  <si>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</si>
  <si>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</si>
  <si>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</si>
  <si>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</si>
  <si>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</si>
  <si>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</si>
  <si>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</si>
  <si>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</si>
  <si>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</si>
  <si>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</si>
  <si>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</si>
  <si>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</si>
  <si>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</si>
  <si>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</si>
  <si>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</si>
  <si>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</si>
  <si>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</si>
  <si>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</si>
  <si>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</si>
  <si>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</si>
  <si>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</si>
  <si>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</si>
  <si>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</si>
  <si>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</si>
  <si>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</si>
  <si>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</si>
  <si>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</si>
  <si>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</si>
  <si>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</si>
  <si>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</si>
  <si>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</si>
  <si>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</si>
  <si>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</si>
  <si>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</si>
  <si>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</si>
  <si>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</si>
  <si>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</si>
  <si>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</si>
  <si>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</si>
  <si>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</si>
  <si>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</si>
  <si>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</si>
  <si>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</si>
  <si>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</si>
  <si>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</si>
  <si>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</si>
  <si>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</si>
  <si>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</si>
  <si>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</si>
  <si>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</si>
  <si>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</si>
  <si>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</si>
  <si>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</si>
  <si>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</si>
  <si>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</si>
  <si>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</si>
  <si>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</si>
  <si>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</si>
  <si>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</si>
  <si>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</si>
  <si>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</si>
  <si>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</si>
  <si>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</si>
  <si>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</si>
  <si>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</si>
  <si>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</si>
  <si>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</si>
  <si>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</si>
  <si>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</si>
  <si>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</si>
  <si>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</si>
  <si>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</si>
  <si>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</si>
  <si>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</si>
  <si>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</si>
  <si>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</si>
  <si>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</si>
  <si>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</si>
  <si>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</si>
  <si>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</si>
  <si>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</si>
  <si>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</si>
  <si>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</si>
  <si>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</si>
  <si>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</si>
  <si>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</si>
  <si>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</si>
  <si>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</si>
  <si>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</si>
  <si>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</si>
  <si>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</si>
  <si>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</si>
  <si>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</si>
  <si>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</si>
  <si>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</si>
  <si>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</si>
  <si>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</si>
  <si>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</si>
  <si>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</si>
  <si>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</si>
  <si>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</si>
  <si>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</si>
  <si>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</si>
  <si>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</si>
  <si>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</si>
  <si>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</si>
  <si>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</si>
  <si>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</si>
  <si>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</si>
  <si>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</si>
  <si>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</si>
  <si>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</si>
  <si>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</si>
  <si>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</si>
  <si>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</si>
  <si>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</si>
  <si>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</si>
  <si>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</si>
  <si>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</si>
  <si>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</si>
  <si>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</si>
  <si>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</si>
  <si>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</si>
  <si>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</si>
  <si>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</si>
  <si>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</si>
  <si>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</si>
  <si>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</si>
  <si>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</si>
  <si>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</si>
  <si>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</si>
  <si>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</si>
  <si>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</si>
  <si>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</si>
  <si>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</si>
  <si>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</si>
  <si>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</si>
  <si>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</si>
  <si>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</si>
  <si>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</si>
  <si>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</si>
  <si>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</si>
  <si>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</si>
  <si>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</si>
  <si>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</si>
  <si>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</si>
  <si>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</si>
  <si>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</si>
  <si>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</si>
  <si>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</si>
  <si>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</si>
  <si>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</si>
  <si>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</si>
  <si>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</si>
  <si>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</si>
  <si>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</si>
  <si>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</si>
  <si>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</si>
  <si>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</si>
  <si>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</si>
  <si>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</si>
  <si>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</si>
  <si>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</si>
  <si>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</si>
  <si>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</si>
  <si>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</si>
  <si>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</si>
  <si>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</si>
  <si>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</si>
  <si>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</si>
  <si>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</si>
  <si>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</si>
  <si>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</si>
  <si>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</si>
  <si>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</si>
  <si>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</si>
  <si>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</si>
  <si>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</si>
  <si>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</si>
  <si>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</si>
  <si>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</si>
  <si>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</si>
  <si>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</si>
  <si>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</si>
  <si>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</si>
  <si>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</si>
  <si>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</si>
  <si>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</si>
  <si>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</si>
  <si>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</si>
  <si>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</si>
  <si>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</si>
  <si>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</si>
  <si>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</si>
  <si>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</si>
  <si>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</si>
  <si>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</si>
  <si>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</si>
  <si>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</si>
  <si>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</si>
  <si>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</si>
  <si>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</si>
  <si>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</si>
  <si>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</si>
  <si>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</si>
  <si>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</si>
  <si>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</si>
  <si>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</si>
  <si>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</si>
  <si>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</si>
  <si>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</si>
  <si>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</si>
  <si>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</si>
  <si>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</si>
  <si>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</si>
  <si>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</si>
  <si>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</si>
  <si>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</si>
  <si>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</si>
  <si>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</si>
  <si>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</si>
  <si>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</si>
  <si>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</si>
  <si>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</si>
  <si>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</si>
  <si>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</si>
  <si>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</si>
  <si>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</si>
  <si>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</si>
  <si>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</si>
  <si>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</si>
  <si>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</si>
  <si>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</si>
  <si>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</si>
  <si>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</si>
  <si>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</si>
  <si>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</si>
  <si>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</si>
  <si>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</si>
  <si>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</si>
  <si>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</si>
  <si>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</si>
  <si>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</si>
  <si>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</si>
  <si>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</si>
  <si>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</si>
  <si>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</si>
  <si>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</si>
  <si>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</si>
  <si>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</si>
  <si>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</si>
  <si>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</si>
  <si>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</si>
  <si>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</si>
  <si>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</si>
  <si>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</si>
  <si>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</si>
  <si>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</si>
  <si>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</si>
  <si>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</si>
  <si>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</si>
  <si>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</si>
  <si>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</si>
  <si>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</si>
  <si>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</si>
  <si>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</si>
  <si>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</si>
  <si>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</si>
  <si>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</si>
  <si>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</si>
  <si>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</si>
  <si>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</si>
  <si>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</si>
  <si>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</si>
  <si>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</si>
  <si>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</si>
  <si>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</si>
  <si>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</si>
  <si>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</si>
  <si>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</si>
  <si>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</si>
  <si>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</si>
  <si>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</si>
  <si>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</si>
  <si>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</si>
  <si>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</si>
  <si>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</si>
  <si>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</si>
  <si>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</si>
  <si>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</si>
  <si>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</si>
  <si>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</si>
  <si>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</si>
  <si>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</si>
  <si>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</si>
  <si>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</si>
  <si>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</si>
  <si>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</si>
  <si>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</si>
  <si>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</si>
  <si>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</si>
  <si>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</si>
  <si>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</si>
  <si>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</si>
  <si>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</si>
  <si>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</si>
  <si>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</si>
  <si>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</si>
  <si>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</si>
  <si>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</si>
  <si>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</si>
  <si>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</si>
  <si>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</si>
  <si>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</si>
  <si>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</si>
  <si>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</si>
  <si>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</si>
  <si>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</si>
  <si>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</si>
  <si>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</si>
  <si>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</si>
  <si>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</si>
  <si>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</si>
  <si>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</si>
  <si>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</si>
  <si>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</si>
  <si>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</si>
  <si>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</si>
  <si>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</si>
  <si>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</si>
  <si>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</si>
  <si>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</si>
  <si>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</si>
  <si>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</si>
  <si>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</si>
  <si>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</si>
  <si>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</si>
  <si>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</si>
  <si>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</si>
  <si>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</si>
  <si>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</si>
  <si>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</si>
  <si>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</si>
  <si>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</si>
  <si>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</si>
  <si>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</si>
  <si>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</si>
  <si>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</si>
  <si>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</si>
  <si>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</si>
  <si>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</si>
  <si>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</si>
  <si>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</si>
  <si>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</si>
  <si>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</si>
  <si>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</si>
  <si>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</si>
  <si>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</si>
  <si>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</si>
  <si>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</si>
  <si>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</si>
  <si>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</si>
  <si>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</si>
  <si>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</si>
  <si>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</si>
  <si>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</si>
  <si>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</si>
  <si>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</si>
  <si>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</si>
  <si>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</si>
  <si>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</si>
  <si>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</si>
  <si>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</si>
  <si>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</si>
  <si>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</si>
  <si>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</si>
  <si>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</si>
  <si>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</si>
  <si>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</si>
  <si>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</si>
  <si>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</si>
  <si>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</si>
  <si>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</si>
  <si>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</si>
  <si>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</si>
  <si>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</si>
  <si>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</si>
  <si>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</si>
  <si>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</si>
  <si>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</si>
  <si>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</si>
  <si>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</si>
  <si>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</si>
  <si>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</si>
  <si>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</si>
  <si>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</si>
  <si>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</si>
  <si>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</si>
  <si>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</si>
  <si>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</si>
  <si>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</si>
  <si>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</si>
  <si>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</si>
  <si>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</si>
  <si>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</si>
  <si>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</si>
  <si>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</si>
  <si>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</si>
  <si>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</si>
  <si>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</si>
  <si>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</si>
  <si>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</si>
  <si>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</si>
  <si>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</si>
  <si>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</si>
  <si>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</si>
  <si>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</si>
  <si>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</si>
  <si>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</si>
  <si>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</si>
  <si>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</si>
  <si>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</si>
  <si>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</si>
  <si>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</si>
  <si>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</si>
  <si>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</si>
  <si>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</si>
  <si>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</si>
  <si>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</si>
  <si>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</si>
  <si>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</si>
  <si>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</si>
  <si>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</si>
  <si>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</si>
  <si>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</si>
  <si>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</si>
  <si>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</si>
  <si>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</si>
  <si>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</si>
  <si>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</si>
  <si>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</si>
  <si>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</si>
  <si>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</si>
  <si>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</si>
  <si>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</si>
  <si>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</si>
  <si>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</si>
  <si>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</si>
  <si>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</si>
  <si>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</si>
  <si>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</si>
  <si>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</si>
  <si>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</si>
  <si>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</si>
  <si>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</si>
  <si>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</si>
  <si>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</si>
  <si>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</si>
  <si>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</si>
  <si>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</si>
  <si>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</si>
  <si>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</si>
  <si>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</si>
  <si>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</si>
  <si>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</si>
  <si>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</si>
  <si>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</si>
  <si>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</si>
  <si>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</si>
  <si>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</si>
  <si>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</si>
  <si>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</si>
  <si>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</si>
  <si>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</si>
  <si>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</si>
  <si>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</si>
  <si>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</si>
  <si>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</si>
  <si>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</si>
  <si>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</si>
  <si>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</si>
  <si>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</si>
  <si>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</si>
  <si>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</si>
  <si>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</si>
  <si>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</si>
  <si>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</si>
  <si>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</si>
  <si>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</si>
  <si>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</si>
  <si>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</si>
  <si>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</si>
  <si>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</si>
  <si>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</si>
  <si>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</si>
  <si>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</si>
  <si>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</si>
  <si>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</si>
  <si>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</si>
  <si>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</si>
  <si>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</si>
  <si>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</si>
  <si>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</si>
  <si>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</si>
  <si>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</si>
  <si>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</si>
  <si>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</si>
  <si>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</si>
  <si>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</si>
  <si>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</si>
  <si>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</si>
  <si>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</si>
  <si>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</si>
  <si>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</si>
  <si>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</si>
  <si>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</si>
  <si>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</si>
  <si>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</si>
  <si>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</si>
  <si>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</si>
  <si>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</si>
  <si>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</si>
  <si>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</si>
  <si>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</si>
  <si>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</si>
  <si>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</si>
  <si>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</si>
  <si>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</si>
  <si>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</si>
  <si>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</si>
  <si>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</si>
  <si>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</si>
  <si>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</si>
  <si>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</si>
  <si>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</si>
  <si>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</si>
  <si>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</si>
  <si>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</si>
  <si>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</si>
  <si>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</si>
  <si>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</si>
  <si>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</si>
  <si>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</si>
  <si>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</si>
  <si>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</si>
  <si>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</si>
  <si>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</si>
  <si>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</si>
  <si>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</si>
  <si>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</si>
  <si>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</si>
  <si>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</si>
  <si>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</si>
  <si>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</si>
  <si>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</si>
  <si>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</si>
  <si>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</si>
  <si>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</si>
  <si>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</si>
  <si>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</si>
  <si>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</si>
  <si>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</si>
  <si>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</si>
  <si>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</si>
  <si>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</si>
  <si>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</si>
  <si>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</si>
  <si>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</si>
  <si>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</si>
  <si>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</si>
  <si>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</si>
  <si>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</si>
  <si>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</si>
  <si>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</si>
  <si>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</si>
  <si>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</si>
  <si>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</si>
  <si>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</si>
  <si>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</si>
  <si>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</si>
  <si>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</si>
  <si>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</si>
  <si>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</si>
  <si>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</si>
  <si>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</si>
  <si>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</si>
  <si>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</si>
  <si>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</si>
  <si>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</si>
  <si>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</si>
  <si>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</si>
  <si>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</si>
  <si>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</si>
  <si>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</si>
  <si>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</si>
  <si>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</si>
  <si>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</si>
  <si>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</si>
  <si>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</si>
  <si>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</si>
  <si>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</si>
  <si>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</si>
  <si>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</si>
  <si>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</si>
  <si>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</si>
  <si>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</si>
  <si>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</si>
  <si>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</si>
  <si>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</si>
  <si>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</si>
  <si>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</si>
  <si>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</si>
  <si>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</si>
  <si>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</si>
  <si>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</si>
  <si>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</si>
  <si>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</si>
  <si>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</si>
  <si>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</si>
  <si>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</si>
  <si>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</si>
  <si>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</si>
  <si>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</si>
  <si>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</si>
  <si>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</si>
  <si>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</si>
  <si>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</si>
  <si>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</si>
  <si>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</si>
  <si>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</si>
  <si>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</si>
  <si>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</si>
  <si>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</si>
  <si>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</si>
  <si>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</si>
  <si>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</si>
  <si>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</si>
  <si>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</si>
  <si>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</si>
  <si>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</si>
  <si>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</si>
  <si>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</si>
  <si>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</si>
  <si>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</si>
  <si>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</si>
  <si>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</si>
  <si>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</si>
  <si>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</si>
  <si>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</si>
  <si>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</si>
  <si>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</si>
  <si>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</si>
  <si>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</si>
  <si>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</si>
  <si>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</si>
  <si>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</si>
  <si>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</si>
  <si>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</si>
  <si>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</si>
  <si>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</si>
  <si>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</si>
  <si>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</si>
  <si>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</si>
  <si>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</si>
  <si>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</si>
  <si>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</si>
  <si>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</si>
  <si>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</si>
  <si>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</si>
  <si>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</si>
  <si>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</si>
  <si>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</si>
  <si>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</si>
  <si>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</si>
  <si>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</si>
  <si>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</si>
  <si>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</si>
  <si>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</si>
  <si>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</si>
  <si>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</si>
  <si>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</si>
  <si>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</si>
  <si>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</si>
  <si>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</si>
  <si>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</si>
  <si>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</si>
  <si>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</si>
  <si>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</si>
  <si>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</si>
  <si>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</si>
  <si>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</si>
  <si>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</si>
  <si>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</si>
  <si>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</si>
  <si>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</si>
  <si>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</si>
  <si>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</si>
  <si>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</si>
  <si>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</si>
  <si>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</si>
  <si>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</si>
  <si>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</si>
  <si>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</si>
  <si>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</si>
  <si>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</si>
  <si>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</si>
  <si>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</si>
  <si>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</si>
  <si>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</si>
  <si>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</si>
  <si>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</si>
  <si>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</si>
  <si>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</si>
  <si>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</si>
  <si>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</si>
  <si>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</si>
  <si>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</si>
  <si>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</si>
  <si>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</si>
  <si>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</si>
  <si>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</si>
  <si>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</si>
  <si>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</si>
  <si>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</si>
  <si>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</si>
  <si>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</si>
  <si>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</si>
  <si>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</si>
  <si>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</si>
  <si>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</si>
  <si>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</si>
  <si>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</si>
  <si>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</si>
  <si>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</si>
  <si>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</si>
  <si>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</si>
  <si>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</si>
  <si>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</si>
  <si>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</si>
  <si>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</si>
  <si>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</si>
  <si>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</si>
  <si>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</si>
  <si>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</si>
  <si>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</si>
  <si>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</si>
  <si>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</si>
  <si>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</si>
  <si>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</si>
  <si>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</si>
  <si>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</si>
  <si>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</si>
  <si>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</si>
  <si>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</si>
  <si>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</si>
  <si>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</si>
  <si>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</si>
  <si>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</si>
  <si>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</si>
  <si>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</si>
  <si>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</si>
  <si>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</si>
  <si>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</si>
  <si>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</si>
  <si>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</si>
  <si>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</si>
  <si>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</si>
  <si>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</si>
  <si>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</si>
  <si>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</si>
  <si>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</si>
  <si>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</si>
  <si>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</si>
  <si>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</si>
  <si>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</si>
  <si>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</si>
  <si>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</si>
  <si>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</si>
  <si>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</si>
  <si>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</si>
  <si>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</si>
  <si>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</si>
  <si>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</si>
  <si>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</si>
  <si>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</si>
  <si>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</si>
  <si>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</si>
  <si>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</si>
  <si>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</si>
  <si>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</si>
  <si>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</si>
  <si>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</si>
  <si>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</si>
  <si>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</si>
  <si>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</si>
  <si>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</si>
  <si>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</si>
  <si>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</si>
  <si>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</si>
  <si>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</si>
  <si>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</si>
  <si>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</si>
  <si>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</si>
  <si>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</si>
  <si>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</si>
  <si>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</si>
  <si>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</si>
  <si>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</si>
  <si>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</si>
  <si>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</si>
  <si>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</si>
  <si>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</si>
  <si>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</si>
  <si>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</si>
  <si>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</si>
  <si>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</si>
  <si>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</si>
  <si>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</si>
  <si>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</si>
  <si>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</si>
  <si>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</si>
  <si>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</si>
  <si>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</si>
  <si>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</si>
  <si>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</si>
  <si>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</si>
  <si>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</si>
  <si>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</si>
  <si>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</si>
  <si>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</si>
  <si>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</si>
  <si>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</si>
  <si>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</si>
  <si>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</si>
  <si>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</si>
  <si>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</si>
  <si>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</si>
  <si>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</si>
  <si>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</si>
  <si>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</si>
  <si>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</si>
  <si>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</si>
  <si>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</si>
  <si>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</si>
  <si>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</si>
  <si>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</si>
  <si>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</si>
  <si>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</si>
  <si>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</si>
  <si>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</si>
  <si>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</si>
  <si>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</si>
  <si>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</si>
  <si>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</si>
  <si>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</si>
  <si>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</si>
  <si>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</si>
  <si>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</si>
  <si>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</si>
  <si>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</si>
  <si>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</si>
  <si>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</si>
  <si>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</si>
  <si>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</si>
  <si>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</si>
  <si>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</si>
  <si>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</si>
  <si>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</si>
  <si>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</si>
  <si>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</si>
  <si>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</si>
  <si>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</si>
  <si>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</si>
  <si>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</si>
  <si>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</si>
  <si>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</si>
  <si>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</si>
  <si>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</si>
  <si>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</si>
  <si>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</si>
  <si>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</si>
  <si>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</si>
  <si>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</si>
  <si>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</si>
  <si>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</si>
  <si>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</si>
  <si>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</si>
  <si>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</si>
  <si>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</si>
  <si>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</si>
  <si>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</si>
  <si>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</si>
  <si>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</si>
  <si>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</si>
  <si>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</si>
  <si>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</si>
  <si>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</si>
  <si>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</si>
  <si>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</si>
  <si>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</si>
  <si>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</si>
  <si>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</si>
  <si>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</si>
  <si>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</si>
  <si>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</si>
  <si>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</si>
  <si>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</si>
  <si>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</si>
  <si>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</si>
  <si>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</si>
  <si>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</si>
  <si>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</si>
  <si>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</si>
  <si>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</si>
  <si>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</si>
  <si>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</si>
  <si>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</si>
  <si>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</si>
  <si>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</si>
  <si>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</si>
  <si>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</si>
  <si>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</si>
  <si>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</si>
  <si>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</si>
  <si>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</si>
  <si>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</si>
  <si>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</si>
  <si>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</si>
  <si>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</si>
  <si>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</si>
  <si>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</si>
  <si>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</si>
  <si>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</si>
  <si>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</si>
  <si>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</si>
  <si>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</si>
  <si>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</si>
  <si>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</si>
  <si>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</si>
  <si>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</si>
  <si>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</si>
  <si>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</si>
  <si>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</si>
  <si>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</si>
  <si>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</si>
  <si>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</si>
  <si>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</si>
  <si>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</si>
  <si>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</si>
  <si>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</si>
  <si>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</si>
  <si>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</si>
  <si>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</si>
  <si>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</si>
  <si>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</si>
  <si>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</si>
  <si>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</si>
  <si>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</si>
  <si>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</si>
  <si>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</si>
  <si>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</si>
  <si>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</si>
  <si>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</si>
  <si>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</si>
  <si>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</si>
  <si>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</si>
  <si>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</si>
  <si>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</si>
  <si>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</si>
  <si>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</si>
  <si>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</si>
  <si>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</si>
  <si>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</si>
  <si>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</si>
  <si>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</si>
  <si>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</si>
  <si>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</si>
  <si>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</si>
  <si>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</si>
  <si>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</si>
  <si>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</si>
  <si>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</si>
  <si>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</si>
  <si>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</si>
  <si>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</si>
  <si>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</si>
  <si>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</si>
  <si>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</si>
  <si>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</si>
  <si>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</si>
  <si>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</si>
  <si>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</si>
  <si>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</si>
  <si>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</si>
  <si>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</si>
  <si>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</si>
  <si>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</si>
  <si>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</si>
  <si>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</si>
  <si>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</si>
  <si>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</si>
  <si>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</si>
  <si>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</si>
  <si>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</si>
  <si>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</si>
  <si>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</si>
  <si>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</si>
  <si>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</si>
  <si>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</si>
  <si>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</si>
  <si>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</si>
  <si>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</si>
  <si>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</si>
  <si>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</si>
  <si>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</si>
  <si>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</si>
  <si>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</si>
  <si>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</si>
  <si>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</si>
  <si>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</si>
  <si>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</si>
  <si>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</si>
  <si>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</si>
  <si>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</si>
  <si>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</si>
  <si>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</si>
  <si>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</si>
  <si>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</si>
  <si>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</si>
  <si>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</si>
  <si>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</si>
  <si>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</si>
  <si>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</si>
  <si>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</si>
  <si>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</si>
  <si>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</si>
  <si>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</si>
  <si>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</si>
  <si>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</si>
  <si>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</si>
  <si>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</si>
  <si>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</si>
  <si>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</si>
  <si>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</si>
  <si>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</si>
  <si>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</si>
  <si>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</si>
  <si>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</si>
  <si>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</si>
  <si>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</si>
  <si>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</si>
  <si>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</si>
  <si>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</si>
  <si>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</si>
  <si>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</si>
  <si>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</si>
  <si>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</si>
  <si>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</si>
  <si>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</si>
  <si>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</si>
  <si>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</si>
  <si>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</si>
  <si>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</si>
  <si>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</si>
  <si>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</si>
  <si>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</si>
  <si>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</si>
  <si>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</si>
  <si>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</si>
  <si>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</si>
  <si>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</si>
  <si>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</si>
  <si>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</si>
  <si>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</si>
  <si>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</si>
  <si>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</si>
  <si>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</si>
  <si>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</si>
  <si>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</si>
  <si>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</si>
  <si>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</si>
  <si>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</si>
  <si>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</si>
  <si>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</si>
  <si>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</si>
  <si>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</si>
  <si>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</si>
  <si>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</si>
  <si>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</si>
  <si>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</si>
  <si>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</si>
  <si>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</si>
  <si>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</si>
  <si>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</si>
  <si>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</si>
  <si>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</si>
  <si>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</si>
  <si>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</si>
  <si>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</si>
  <si>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</si>
  <si>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</si>
  <si>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</si>
  <si>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</si>
  <si>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</si>
  <si>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</si>
  <si>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</si>
  <si>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</si>
  <si>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</si>
  <si>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</si>
  <si>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</si>
  <si>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</si>
  <si>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</si>
  <si>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</si>
  <si>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</si>
  <si>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</si>
  <si>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</si>
  <si>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</si>
  <si>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</si>
  <si>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</si>
  <si>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</si>
  <si>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</si>
  <si>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</si>
  <si>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</si>
  <si>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</si>
  <si>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</si>
  <si>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</si>
  <si>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</si>
  <si>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</si>
  <si>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</si>
  <si>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</si>
  <si>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</si>
  <si>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</si>
  <si>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</si>
  <si>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</si>
  <si>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</si>
  <si>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</si>
  <si>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</si>
  <si>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</si>
  <si>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</si>
  <si>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</si>
  <si>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</si>
  <si>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</si>
  <si>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</si>
  <si>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</si>
  <si>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</si>
  <si>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</si>
  <si>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</si>
  <si>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</si>
  <si>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</si>
  <si>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</si>
  <si>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</si>
  <si>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</si>
  <si>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</si>
  <si>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</si>
  <si>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</si>
  <si>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</si>
  <si>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</si>
  <si>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</si>
  <si>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</si>
  <si>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</si>
  <si>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</si>
  <si>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</si>
  <si>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</si>
  <si>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</si>
  <si>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</si>
  <si>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</si>
  <si>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</si>
  <si>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</si>
  <si>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</si>
  <si>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</si>
  <si>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</si>
  <si>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</si>
  <si>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</si>
  <si>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</si>
  <si>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</si>
  <si>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</si>
  <si>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</si>
  <si>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</si>
  <si>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</si>
  <si>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</si>
  <si>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</si>
  <si>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</si>
  <si>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</si>
  <si>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</si>
  <si>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</si>
  <si>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</si>
  <si>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</si>
  <si>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</si>
  <si>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</si>
  <si>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</si>
  <si>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</si>
  <si>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</si>
  <si>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</si>
  <si>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</si>
  <si>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</si>
  <si>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</si>
  <si>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</si>
  <si>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</si>
  <si>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</si>
  <si>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</si>
  <si>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</si>
  <si>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</si>
  <si>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</si>
  <si>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</si>
  <si>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</si>
  <si>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</si>
  <si>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</si>
  <si>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</si>
  <si>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</si>
  <si>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</si>
  <si>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</si>
  <si>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</si>
  <si>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</si>
  <si>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</si>
  <si>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</si>
  <si>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</si>
  <si>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</si>
  <si>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</si>
  <si>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</si>
  <si>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</si>
  <si>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</si>
  <si>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</si>
  <si>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</si>
  <si>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</si>
  <si>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</si>
  <si>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</si>
  <si>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</si>
  <si>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</si>
  <si>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</si>
  <si>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</si>
  <si>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</si>
  <si>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</si>
  <si>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</si>
  <si>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</si>
  <si>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</si>
  <si>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</si>
  <si>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</si>
  <si>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</si>
  <si>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</si>
  <si>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</si>
  <si>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</si>
  <si>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</si>
  <si>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</si>
  <si>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</si>
  <si>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</si>
  <si>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</si>
  <si>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</si>
  <si>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</si>
  <si>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</si>
  <si>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</si>
  <si>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</si>
  <si>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</si>
  <si>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</si>
  <si>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</si>
  <si>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</si>
  <si>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</si>
  <si>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</si>
  <si>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</si>
  <si>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</si>
  <si>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</si>
  <si>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</si>
  <si>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</si>
  <si>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</si>
  <si>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</si>
  <si>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</si>
  <si>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</si>
  <si>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</si>
  <si>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</si>
  <si>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</si>
  <si>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</si>
  <si>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</si>
  <si>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</si>
  <si>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</si>
  <si>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</si>
  <si>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</si>
  <si>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</si>
  <si>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</si>
  <si>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</si>
  <si>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</si>
  <si>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</si>
  <si>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</si>
  <si>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</si>
  <si>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</si>
  <si>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</si>
  <si>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</si>
  <si>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</si>
  <si>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</si>
  <si>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</si>
  <si>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</si>
  <si>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</si>
  <si>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</si>
  <si>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</si>
  <si>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</si>
  <si>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</si>
  <si>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</si>
  <si>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</si>
  <si>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</si>
  <si>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</si>
  <si>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</si>
  <si>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</si>
  <si>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</si>
  <si>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</si>
  <si>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</si>
  <si>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</si>
  <si>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</si>
  <si>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</si>
  <si>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</si>
  <si>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</si>
  <si>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</si>
  <si>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</si>
  <si>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</si>
  <si>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</si>
  <si>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</si>
  <si>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</si>
  <si>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</si>
  <si>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</si>
  <si>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</si>
  <si>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</si>
  <si>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</si>
  <si>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</si>
  <si>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</si>
  <si>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</si>
  <si>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</si>
  <si>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</si>
  <si>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</si>
  <si>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</si>
  <si>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</si>
  <si>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</si>
  <si>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</si>
  <si>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</si>
  <si>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</si>
  <si>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</si>
  <si>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</si>
  <si>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</si>
  <si>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</si>
  <si>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</si>
  <si>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</si>
  <si>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</si>
  <si>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</si>
  <si>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</si>
  <si>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</si>
  <si>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</si>
  <si>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</si>
  <si>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</si>
  <si>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</si>
  <si>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</si>
  <si>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</si>
  <si>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</si>
  <si>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</si>
  <si>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</si>
  <si>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</si>
  <si>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</si>
  <si>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</si>
  <si>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</si>
  <si>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</si>
  <si>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</si>
  <si>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</si>
  <si>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</si>
  <si>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</si>
  <si>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</si>
  <si>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</si>
  <si>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</si>
  <si>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</si>
  <si>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</si>
  <si>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</si>
  <si>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</si>
  <si>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</si>
  <si>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</si>
  <si>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</si>
  <si>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</si>
  <si>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</si>
  <si>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</si>
  <si>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</si>
  <si>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</si>
  <si>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</si>
  <si>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</si>
  <si>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</si>
  <si>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</si>
  <si>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</si>
  <si>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</si>
  <si>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</si>
  <si>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</si>
  <si>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</si>
  <si>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</si>
  <si>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</si>
  <si>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</si>
  <si>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</si>
  <si>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</si>
  <si>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</si>
  <si>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</si>
  <si>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</si>
  <si>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</si>
  <si>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</si>
  <si>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</si>
  <si>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</si>
  <si>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</si>
  <si>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</si>
  <si>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</si>
  <si>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</si>
  <si>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</si>
  <si>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</si>
  <si>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</si>
  <si>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</si>
  <si>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</si>
  <si>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</si>
  <si>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</si>
  <si>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</si>
  <si>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</si>
  <si>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</si>
  <si>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</si>
  <si>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</si>
  <si>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</si>
  <si>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</si>
  <si>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</si>
  <si>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</si>
  <si>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</si>
  <si>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</si>
  <si>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</si>
  <si>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</si>
  <si>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</si>
  <si>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</si>
  <si>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</si>
  <si>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</si>
  <si>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</si>
  <si>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</si>
  <si>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</si>
  <si>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</si>
  <si>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</si>
  <si>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</si>
  <si>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</si>
  <si>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</si>
  <si>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</si>
  <si>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</si>
  <si>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</si>
  <si>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</si>
  <si>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</si>
  <si>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</si>
  <si>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</si>
  <si>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</si>
  <si>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</si>
  <si>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</si>
  <si>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</si>
  <si>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</si>
  <si>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</si>
  <si>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</si>
  <si>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</si>
  <si>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</si>
  <si>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</si>
  <si>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</si>
  <si>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</si>
  <si>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</si>
  <si>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</si>
  <si>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</si>
  <si>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</si>
  <si>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</si>
  <si>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</si>
  <si>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</si>
  <si>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</si>
  <si>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</si>
  <si>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</si>
  <si>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</si>
  <si>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</si>
  <si>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</si>
  <si>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</si>
  <si>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</si>
  <si>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</si>
  <si>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</si>
  <si>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</si>
  <si>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</si>
  <si>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</si>
  <si>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</si>
  <si>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</si>
  <si>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</si>
  <si>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</si>
  <si>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</si>
  <si>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</si>
  <si>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</si>
  <si>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</si>
  <si>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</si>
  <si>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</si>
  <si>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</si>
  <si>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</si>
  <si>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</si>
  <si>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</si>
  <si>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</si>
  <si>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</si>
  <si>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</si>
  <si>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</si>
  <si>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</si>
  <si>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</si>
  <si>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</si>
  <si>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</si>
  <si>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</si>
  <si>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</si>
  <si>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</si>
  <si>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</si>
  <si>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</si>
  <si>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</si>
  <si>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</si>
  <si>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</si>
  <si>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</si>
  <si>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</si>
  <si>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</si>
  <si>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</si>
  <si>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</si>
  <si>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</si>
  <si>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</si>
  <si>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</si>
  <si>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</si>
  <si>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</si>
  <si>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</si>
  <si>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</si>
  <si>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</si>
  <si>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</si>
  <si>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</si>
  <si>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</si>
  <si>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</si>
  <si>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</si>
  <si>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</si>
  <si>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</si>
  <si>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</si>
  <si>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</si>
  <si>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</si>
  <si>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</si>
  <si>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</si>
  <si>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</si>
  <si>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</si>
  <si>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</si>
  <si>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</si>
  <si>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</si>
  <si>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</si>
  <si>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</si>
  <si>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</si>
  <si>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</si>
  <si>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</si>
  <si>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</si>
  <si>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</si>
  <si>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</si>
  <si>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</si>
  <si>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</si>
  <si>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</si>
  <si>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</si>
  <si>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</si>
  <si>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</si>
  <si>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</si>
  <si>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</si>
  <si>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</si>
  <si>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</si>
  <si>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</si>
  <si>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</si>
  <si>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</si>
  <si>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</si>
  <si>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</si>
  <si>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</si>
  <si>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</si>
  <si>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</si>
  <si>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</si>
  <si>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</si>
  <si>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</si>
  <si>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</si>
  <si>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</si>
  <si>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</si>
  <si>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</si>
  <si>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</si>
  <si>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</si>
  <si>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</si>
  <si>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</si>
  <si>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</si>
  <si>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</si>
  <si>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</si>
  <si>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</si>
  <si>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</si>
  <si>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</si>
  <si>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</si>
  <si>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</si>
  <si>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</si>
  <si>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</si>
  <si>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</si>
  <si>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</si>
  <si>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</si>
  <si>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</si>
  <si>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</si>
  <si>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</si>
  <si>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</si>
  <si>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</si>
  <si>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</si>
  <si>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</si>
  <si>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</si>
  <si>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</si>
  <si>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</si>
  <si>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</si>
  <si>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</si>
  <si>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</si>
  <si>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</si>
  <si>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</si>
  <si>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</si>
  <si>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</si>
  <si>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</si>
  <si>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</si>
  <si>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</si>
  <si>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</si>
  <si>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</si>
  <si>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</si>
  <si>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</si>
  <si>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</si>
  <si>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</si>
  <si>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</si>
  <si>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</si>
  <si>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</si>
  <si>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</si>
  <si>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</si>
  <si>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</si>
  <si>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</si>
  <si>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</si>
  <si>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</si>
  <si>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</si>
  <si>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</si>
  <si>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</si>
  <si>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</si>
  <si>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</si>
  <si>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</si>
  <si>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</si>
  <si>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</si>
  <si>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</si>
  <si>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</si>
  <si>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</si>
  <si>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</si>
  <si>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</si>
  <si>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</si>
  <si>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</si>
  <si>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</si>
  <si>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</si>
  <si>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</si>
  <si>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</si>
  <si>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</si>
  <si>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</si>
  <si>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</si>
  <si>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</si>
  <si>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</si>
  <si>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</si>
  <si>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</si>
  <si>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</si>
  <si>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</si>
  <si>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</si>
  <si>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</si>
  <si>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</si>
  <si>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</si>
  <si>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</si>
  <si>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</si>
  <si>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</si>
  <si>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</si>
  <si>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</si>
  <si>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</si>
  <si>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</si>
  <si>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</si>
  <si>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</si>
  <si>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</si>
  <si>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</si>
  <si>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</si>
  <si>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</si>
  <si>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</si>
  <si>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</si>
  <si>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</si>
  <si>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</si>
  <si>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</si>
  <si>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</si>
  <si>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</si>
  <si>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</si>
  <si>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</si>
  <si>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</si>
  <si>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</si>
  <si>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</si>
  <si>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</si>
  <si>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</si>
  <si>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</si>
  <si>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</si>
  <si>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</si>
  <si>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</si>
  <si>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</si>
  <si>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</si>
  <si>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</si>
  <si>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</si>
  <si>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</si>
  <si>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</si>
  <si>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</si>
  <si>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</si>
  <si>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</si>
  <si>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</si>
  <si>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</si>
  <si>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</si>
  <si>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</si>
  <si>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</si>
  <si>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</si>
  <si>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</si>
  <si>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</si>
  <si>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</si>
  <si>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</si>
  <si>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</si>
  <si>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</si>
  <si>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</si>
  <si>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</si>
  <si>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</si>
  <si>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</si>
  <si>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</si>
  <si>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</si>
  <si>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</si>
  <si>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</si>
  <si>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</si>
  <si>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</si>
  <si>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</si>
  <si>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</si>
  <si>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</si>
  <si>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</si>
  <si>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</si>
  <si>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</si>
  <si>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</si>
  <si>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</si>
  <si>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</si>
  <si>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</si>
  <si>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</si>
  <si>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</si>
  <si>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</si>
  <si>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</si>
  <si>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</si>
  <si>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</si>
  <si>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</si>
  <si>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</si>
  <si>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</si>
  <si>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</si>
  <si>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</si>
  <si>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</si>
  <si>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</si>
  <si>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</si>
  <si>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</si>
  <si>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</si>
  <si>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</si>
  <si>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</si>
  <si>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</si>
  <si>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</si>
  <si>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</si>
  <si>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</si>
  <si>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</si>
  <si>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</si>
  <si>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</si>
  <si>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</si>
  <si>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</si>
  <si>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</si>
  <si>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</si>
  <si>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</si>
  <si>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</si>
  <si>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</si>
  <si>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</si>
  <si>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</si>
  <si>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</si>
  <si>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</si>
  <si>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</si>
  <si>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</si>
  <si>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</si>
  <si>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</si>
  <si>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</si>
  <si>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</si>
  <si>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</si>
  <si>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</si>
  <si>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</si>
  <si>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</si>
  <si>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</si>
  <si>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</si>
  <si>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</si>
  <si>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</si>
  <si>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</si>
  <si>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</si>
  <si>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</si>
  <si>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</si>
  <si>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</si>
  <si>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</si>
  <si>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</si>
  <si>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</si>
  <si>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</si>
  <si>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</si>
  <si>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</si>
  <si>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</si>
  <si>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</si>
  <si>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</si>
  <si>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</si>
  <si>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</si>
  <si>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</si>
  <si>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</si>
  <si>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</si>
  <si>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</si>
  <si>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</si>
  <si>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</si>
  <si>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</si>
  <si>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</si>
  <si>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</si>
  <si>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</si>
  <si>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</si>
  <si>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</si>
  <si>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</si>
  <si>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</si>
  <si>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</si>
  <si>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</si>
  <si>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</si>
  <si>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</si>
  <si>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</si>
  <si>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</si>
  <si>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</si>
  <si>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</si>
  <si>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</si>
  <si>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</si>
  <si>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</si>
  <si>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</si>
  <si>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</si>
  <si>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</si>
  <si>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</si>
  <si>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</si>
  <si>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</si>
  <si>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</si>
  <si>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</si>
  <si>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</si>
  <si>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</si>
  <si>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</si>
  <si>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</si>
  <si>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</si>
  <si>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</si>
  <si>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</si>
  <si>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</si>
  <si>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</si>
  <si>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</si>
  <si>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</si>
  <si>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</si>
  <si>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</si>
  <si>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</si>
  <si>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</si>
  <si>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</si>
  <si>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</si>
  <si>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</si>
  <si>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</si>
  <si>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</si>
  <si>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</si>
  <si>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</si>
  <si>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</si>
  <si>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</si>
  <si>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</si>
  <si>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</si>
  <si>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</si>
  <si>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</si>
  <si>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</si>
  <si>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</si>
  <si>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</si>
  <si>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</si>
  <si>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</si>
  <si>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</si>
  <si>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</si>
  <si>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</si>
  <si>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</si>
  <si>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</si>
  <si>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</si>
  <si>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</si>
  <si>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</si>
  <si>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</si>
  <si>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</si>
  <si>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</si>
  <si>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</si>
  <si>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</si>
  <si>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</si>
  <si>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</si>
  <si>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</si>
  <si>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</si>
  <si>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</si>
  <si>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</si>
  <si>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</si>
  <si>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</si>
  <si>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</si>
  <si>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</si>
  <si>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</si>
  <si>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</si>
  <si>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</si>
  <si>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</si>
  <si>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</si>
  <si>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</si>
  <si>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</si>
  <si>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</si>
  <si>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</si>
  <si>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</si>
  <si>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</si>
  <si>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</si>
  <si>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</si>
  <si>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</si>
  <si>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</si>
  <si>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</si>
  <si>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</si>
  <si>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</si>
  <si>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</si>
  <si>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</si>
  <si>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</si>
  <si>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</si>
  <si>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</si>
  <si>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</si>
  <si>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</si>
  <si>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</si>
  <si>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</si>
  <si>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</si>
  <si>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</si>
  <si>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</si>
  <si>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</si>
  <si>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</si>
  <si>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</si>
  <si>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</si>
  <si>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</si>
  <si>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</si>
  <si>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</si>
  <si>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</si>
  <si>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</si>
  <si>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</si>
  <si>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</si>
  <si>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</si>
  <si>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</si>
  <si>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</si>
  <si>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</si>
  <si>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</si>
  <si>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</si>
  <si>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</si>
  <si>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</si>
  <si>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</si>
  <si>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</si>
  <si>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</si>
  <si>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</si>
  <si>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</si>
  <si>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</si>
  <si>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</si>
  <si>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</si>
  <si>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</si>
  <si>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</si>
  <si>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</si>
  <si>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</si>
  <si>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</si>
  <si>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</si>
  <si>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</si>
  <si>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</si>
  <si>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</si>
  <si>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</si>
  <si>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</si>
  <si>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</si>
  <si>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</si>
  <si>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</si>
  <si>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</si>
  <si>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</si>
  <si>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</si>
  <si>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</si>
  <si>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</si>
  <si>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</si>
  <si>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</si>
  <si>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</si>
  <si>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</si>
  <si>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</si>
  <si>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</si>
  <si>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</si>
  <si>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</si>
  <si>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</si>
  <si>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</si>
  <si>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</si>
  <si>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</si>
  <si>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</si>
  <si>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</si>
  <si>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</si>
  <si>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</si>
  <si>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</si>
  <si>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</si>
  <si>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</si>
  <si>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</si>
  <si>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</si>
  <si>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</si>
  <si>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</si>
  <si>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</si>
  <si>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</si>
  <si>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</si>
  <si>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</si>
  <si>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</si>
  <si>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</si>
  <si>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</si>
  <si>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</si>
  <si>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</si>
  <si>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</si>
  <si>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</si>
  <si>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</si>
  <si>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</si>
  <si>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</si>
  <si>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</si>
  <si>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</si>
  <si>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</si>
  <si>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</si>
  <si>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</si>
  <si>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</si>
  <si>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</si>
  <si>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</si>
  <si>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</si>
  <si>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</si>
  <si>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</si>
  <si>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</si>
  <si>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</si>
  <si>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</si>
  <si>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</si>
  <si>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</si>
  <si>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</si>
  <si>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</si>
  <si>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</si>
  <si>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</si>
  <si>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</si>
  <si>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</si>
  <si>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</si>
  <si>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</si>
  <si>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</si>
  <si>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</si>
  <si>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</si>
  <si>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</si>
  <si>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</si>
  <si>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</si>
  <si>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</si>
  <si>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</si>
  <si>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</si>
  <si>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</si>
  <si>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</si>
  <si>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</si>
  <si>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</si>
  <si>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</si>
  <si>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</si>
  <si>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</si>
  <si>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</si>
  <si>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</si>
  <si>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</si>
  <si>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</si>
  <si>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</si>
  <si>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</si>
  <si>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</si>
  <si>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</si>
  <si>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</si>
  <si>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</si>
  <si>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</si>
  <si>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</si>
  <si>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</si>
  <si>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</si>
  <si>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</si>
  <si>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</si>
  <si>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</si>
  <si>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</si>
  <si>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</si>
  <si>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</si>
  <si>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</si>
  <si>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</si>
  <si>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</si>
  <si>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</si>
  <si>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</si>
  <si>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</si>
  <si>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</si>
  <si>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</si>
  <si>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</si>
  <si>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</si>
  <si>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</si>
  <si>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</si>
  <si>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</si>
  <si>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</si>
  <si>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</si>
  <si>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</si>
  <si>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</si>
  <si>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</si>
  <si>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</si>
  <si>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</si>
  <si>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</si>
  <si>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</si>
  <si>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</si>
  <si>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</si>
  <si>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</si>
  <si>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</si>
  <si>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</si>
  <si>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</si>
  <si>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</si>
  <si>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</si>
  <si>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</si>
  <si>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</si>
  <si>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</si>
  <si>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</si>
  <si>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</si>
  <si>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</si>
  <si>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</si>
  <si>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</si>
  <si>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</si>
  <si>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</si>
  <si>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</si>
  <si>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</si>
  <si>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</si>
  <si>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</si>
  <si>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</si>
  <si>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</si>
  <si>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</si>
  <si>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</si>
  <si>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</si>
  <si>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</si>
  <si>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</si>
  <si>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</si>
  <si>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</si>
  <si>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</si>
  <si>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</si>
  <si>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</si>
  <si>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</si>
  <si>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</si>
  <si>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</si>
  <si>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</si>
  <si>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</si>
  <si>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</si>
  <si>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</si>
  <si>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</si>
  <si>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</si>
  <si>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</si>
  <si>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</si>
  <si>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</si>
  <si>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</si>
  <si>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</si>
  <si>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</si>
  <si>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</si>
  <si>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</si>
  <si>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</si>
  <si>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</si>
  <si>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</si>
  <si>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</si>
  <si>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</si>
  <si>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</si>
  <si>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</si>
  <si>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</si>
  <si>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</si>
  <si>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</si>
  <si>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</si>
  <si>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</si>
  <si>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</si>
  <si>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</si>
  <si>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</si>
  <si>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</si>
  <si>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</si>
  <si>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</si>
  <si>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</si>
  <si>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</si>
  <si>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</si>
  <si>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</si>
  <si>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</si>
  <si>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</si>
  <si>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</si>
  <si>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</si>
  <si>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</si>
  <si>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</si>
  <si>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</si>
  <si>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</si>
  <si>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</si>
  <si>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</si>
  <si>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</si>
  <si>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</si>
  <si>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</si>
  <si>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</si>
  <si>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</si>
  <si>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</si>
  <si>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</si>
  <si>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</si>
  <si>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</si>
  <si>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</si>
  <si>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</si>
  <si>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</si>
  <si>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</si>
  <si>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</si>
  <si>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</si>
  <si>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</si>
  <si>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</si>
  <si>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</si>
  <si>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</si>
  <si>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</si>
  <si>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</si>
  <si>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</si>
  <si>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</si>
  <si>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</si>
  <si>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</si>
  <si>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</si>
  <si>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</si>
  <si>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</si>
  <si>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</si>
  <si>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</si>
  <si>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</si>
  <si>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</si>
  <si>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</si>
  <si>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</si>
  <si>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</si>
  <si>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</si>
  <si>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</si>
  <si>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</si>
  <si>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</si>
  <si>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</si>
  <si>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</si>
  <si>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</si>
  <si>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</si>
  <si>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</si>
  <si>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</si>
  <si>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</si>
  <si>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</si>
  <si>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</si>
  <si>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</si>
  <si>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</si>
  <si>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</si>
  <si>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</si>
  <si>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</si>
  <si>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</si>
  <si>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</si>
  <si>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</si>
  <si>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</si>
  <si>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</si>
  <si>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</si>
  <si>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</si>
  <si>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</si>
  <si>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</si>
  <si>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</si>
  <si>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</si>
  <si>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</si>
  <si>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</si>
  <si>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</si>
  <si>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</si>
  <si>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</si>
  <si>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</si>
  <si>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</si>
  <si>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</si>
  <si>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</si>
  <si>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</si>
  <si>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</si>
  <si>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</si>
  <si>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</si>
  <si>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</si>
  <si>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</si>
  <si>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</si>
  <si>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</si>
  <si>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</si>
  <si>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</si>
  <si>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</si>
  <si>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</si>
  <si>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</si>
  <si>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</si>
  <si>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</si>
  <si>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</si>
  <si>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</si>
  <si>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</si>
  <si>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</si>
  <si>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</si>
  <si>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</si>
  <si>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</si>
  <si>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</si>
  <si>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</si>
  <si>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</si>
  <si>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</si>
  <si>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</si>
  <si>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</si>
  <si>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</si>
  <si>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</si>
  <si>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</si>
  <si>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</si>
  <si>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</si>
  <si>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</si>
  <si>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</si>
  <si>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</si>
  <si>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</si>
  <si>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</si>
  <si>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</si>
  <si>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</si>
  <si>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</si>
  <si>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</si>
  <si>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</si>
  <si>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</si>
  <si>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</si>
  <si>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</si>
  <si>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</si>
  <si>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</si>
  <si>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</si>
  <si>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</si>
  <si>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</si>
  <si>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</si>
  <si>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</si>
  <si>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</si>
  <si>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</si>
  <si>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</si>
  <si>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</si>
  <si>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</si>
  <si>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</si>
  <si>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</si>
  <si>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</si>
  <si>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</si>
  <si>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</si>
  <si>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</si>
  <si>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</si>
  <si>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</si>
  <si>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</si>
  <si>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</si>
  <si>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</si>
  <si>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</si>
  <si>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</si>
  <si>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</si>
  <si>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</si>
  <si>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</si>
  <si>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</si>
  <si>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</si>
  <si>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</si>
  <si>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</si>
  <si>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</si>
  <si>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</si>
  <si>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</si>
  <si>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</si>
  <si>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</si>
  <si>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</si>
  <si>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</si>
  <si>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</si>
  <si>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</si>
  <si>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</si>
  <si>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</si>
  <si>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</si>
  <si>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</si>
  <si>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</si>
  <si>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</si>
  <si>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</si>
  <si>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</si>
  <si>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</si>
  <si>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</si>
  <si>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</si>
  <si>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</si>
  <si>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</si>
  <si>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</si>
  <si>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</si>
  <si>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</si>
  <si>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</si>
  <si>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</si>
  <si>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</si>
  <si>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</si>
  <si>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</si>
  <si>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</si>
  <si>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</si>
  <si>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</si>
  <si>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</si>
  <si>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</si>
  <si>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</si>
  <si>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</si>
  <si>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</si>
  <si>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</si>
  <si>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</si>
  <si>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</si>
  <si>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</si>
  <si>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</si>
  <si>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</si>
  <si>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</si>
  <si>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</si>
  <si>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</si>
  <si>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</si>
  <si>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</si>
  <si>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</si>
  <si>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</si>
  <si>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</si>
  <si>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</si>
  <si>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</si>
  <si>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</si>
  <si>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</si>
  <si>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</si>
  <si>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</si>
  <si>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</si>
  <si>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</si>
  <si>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</si>
  <si>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</si>
  <si>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</si>
  <si>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</si>
  <si>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</si>
  <si>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</si>
  <si>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</si>
  <si>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</si>
  <si>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</si>
  <si>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</si>
  <si>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</si>
  <si>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</si>
  <si>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</si>
  <si>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</si>
  <si>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</si>
  <si>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</si>
  <si>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</si>
  <si>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</si>
  <si>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</si>
  <si>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</si>
  <si>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</si>
  <si>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</si>
  <si>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</si>
  <si>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</si>
  <si>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</si>
  <si>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</si>
  <si>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</si>
  <si>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</si>
  <si>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</si>
  <si>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</si>
  <si>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</si>
  <si>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</si>
  <si>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</si>
  <si>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</si>
  <si>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</si>
  <si>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</si>
  <si>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</si>
  <si>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</si>
  <si>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</si>
  <si>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</si>
  <si>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</si>
  <si>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</si>
  <si>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</si>
  <si>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</si>
  <si>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</si>
  <si>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</si>
  <si>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</si>
  <si>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</si>
  <si>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</si>
  <si>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</si>
  <si>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</si>
  <si>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</si>
  <si>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</si>
  <si>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</si>
  <si>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</si>
  <si>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</si>
  <si>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</si>
  <si>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</si>
  <si>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</si>
  <si>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</si>
  <si>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</si>
  <si>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</si>
  <si>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</si>
  <si>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</si>
  <si>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</si>
  <si>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</si>
  <si>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</si>
  <si>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</si>
  <si>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</si>
  <si>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</si>
  <si>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</si>
  <si>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</si>
  <si>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</si>
  <si>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</si>
  <si>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</si>
  <si>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</si>
  <si>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</si>
  <si>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</si>
  <si>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</si>
  <si>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</si>
  <si>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</si>
  <si>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</si>
  <si>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</si>
  <si>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</si>
  <si>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</si>
  <si>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</si>
  <si>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</si>
  <si>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</si>
  <si>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</si>
  <si>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</si>
  <si>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</si>
  <si>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</si>
  <si>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</si>
  <si>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</si>
  <si>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</si>
  <si>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</si>
  <si>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</si>
  <si>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</si>
  <si>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</si>
  <si>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</si>
  <si>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</si>
  <si>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</si>
  <si>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</si>
  <si>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</si>
  <si>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</si>
  <si>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</si>
  <si>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</si>
  <si>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</si>
  <si>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</si>
  <si>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</si>
  <si>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</si>
  <si>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</si>
  <si>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</si>
  <si>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</si>
  <si>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</si>
  <si>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</si>
  <si>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</si>
  <si>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</si>
  <si>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</si>
  <si>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</si>
  <si>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</si>
  <si>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</si>
  <si>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</si>
  <si>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</si>
  <si>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</si>
  <si>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</si>
  <si>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</si>
  <si>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</si>
  <si>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</si>
  <si>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</si>
  <si>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</si>
  <si>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</si>
  <si>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</si>
  <si>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</si>
  <si>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</si>
  <si>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</si>
  <si>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</si>
  <si>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</si>
  <si>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</si>
  <si>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</si>
  <si>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</si>
  <si>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</si>
  <si>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</si>
  <si>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</si>
  <si>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</si>
  <si>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</si>
  <si>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</si>
  <si>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</si>
  <si>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</si>
  <si>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</si>
  <si>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</si>
  <si>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</si>
  <si>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</si>
  <si>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</si>
  <si>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</si>
  <si>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</si>
  <si>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</si>
  <si>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</si>
  <si>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</si>
  <si>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</si>
  <si>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</si>
  <si>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</si>
  <si>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</si>
  <si>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</si>
  <si>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</si>
  <si>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</si>
  <si>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</si>
  <si>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</si>
  <si>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</si>
  <si>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</si>
  <si>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</si>
  <si>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</si>
  <si>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</si>
  <si>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</si>
  <si>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</si>
  <si>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</si>
  <si>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</si>
  <si>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</si>
  <si>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</si>
  <si>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</si>
  <si>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</si>
  <si>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</si>
  <si>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</si>
  <si>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</si>
  <si>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</si>
  <si>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</si>
  <si>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</si>
  <si>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</si>
  <si>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</si>
  <si>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</si>
  <si>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</si>
  <si>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</si>
  <si>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</si>
  <si>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</si>
  <si>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</si>
  <si>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</si>
  <si>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</si>
  <si>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</si>
  <si>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</si>
  <si>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</si>
  <si>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</si>
  <si>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</si>
  <si>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</si>
  <si>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</si>
  <si>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</si>
  <si>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</si>
  <si>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</si>
  <si>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</si>
  <si>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</si>
  <si>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</si>
  <si>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</si>
  <si>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</si>
  <si>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</si>
  <si>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</si>
  <si>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</si>
  <si>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</si>
  <si>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</si>
  <si>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</si>
  <si>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</si>
  <si>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</si>
  <si>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</si>
  <si>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</si>
  <si>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</si>
  <si>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</si>
  <si>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</si>
  <si>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</si>
  <si>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</si>
  <si>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</si>
  <si>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</si>
  <si>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</si>
  <si>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</si>
  <si>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</si>
  <si>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</si>
  <si>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</si>
  <si>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</si>
  <si>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</si>
  <si>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</si>
  <si>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</si>
  <si>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</si>
  <si>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</si>
  <si>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</si>
  <si>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</si>
  <si>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</si>
  <si>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</si>
  <si>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</si>
  <si>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</si>
  <si>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</si>
  <si>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</si>
  <si>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</si>
  <si>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</si>
  <si>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</si>
  <si>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</si>
  <si>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</si>
  <si>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</si>
  <si>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</si>
  <si>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</si>
  <si>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</si>
  <si>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</si>
  <si>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</si>
  <si>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</si>
  <si>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</si>
  <si>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</si>
  <si>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</si>
  <si>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</si>
  <si>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</si>
  <si>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</si>
  <si>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</si>
  <si>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</si>
  <si>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</si>
  <si>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</si>
  <si>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</si>
  <si>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</si>
  <si>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</si>
  <si>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</si>
  <si>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</si>
  <si>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</si>
  <si>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</si>
  <si>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</si>
  <si>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</si>
  <si>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</si>
  <si>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</si>
  <si>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</si>
  <si>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</si>
  <si>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</si>
  <si>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</si>
  <si>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</si>
  <si>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</si>
  <si>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</si>
  <si>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</si>
  <si>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</si>
  <si>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</si>
  <si>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</si>
  <si>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</si>
  <si>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</si>
  <si>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</si>
  <si>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</si>
  <si>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</si>
  <si>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</si>
  <si>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</si>
  <si>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</si>
  <si>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</si>
  <si>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</si>
  <si>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</si>
  <si>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</si>
  <si>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</si>
  <si>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</si>
  <si>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</si>
  <si>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</si>
  <si>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</si>
  <si>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</si>
  <si>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</si>
  <si>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</si>
  <si>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</si>
  <si>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</si>
  <si>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</si>
  <si>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</si>
  <si>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</si>
  <si>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</si>
  <si>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</si>
  <si>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</si>
  <si>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</si>
  <si>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</si>
  <si>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</si>
  <si>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</si>
  <si>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</si>
  <si>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</si>
  <si>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</si>
  <si>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</si>
  <si>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</si>
  <si>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</si>
  <si>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</si>
  <si>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</si>
  <si>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</si>
  <si>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</si>
  <si>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</si>
  <si>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</si>
  <si>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</si>
  <si>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</si>
  <si>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</si>
  <si>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</si>
  <si>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</si>
  <si>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</si>
  <si>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</si>
  <si>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</si>
  <si>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</si>
  <si>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</si>
  <si>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</si>
  <si>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</si>
  <si>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</si>
  <si>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</si>
  <si>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</si>
  <si>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</si>
  <si>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</si>
  <si>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</si>
  <si>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</si>
  <si>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</si>
  <si>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</si>
  <si>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</si>
  <si>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</si>
  <si>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</si>
  <si>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</si>
  <si>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</si>
  <si>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</si>
  <si>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</si>
  <si>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</si>
  <si>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</si>
  <si>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</si>
  <si>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</si>
  <si>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</si>
  <si>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</si>
  <si>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</si>
  <si>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</si>
  <si>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</si>
  <si>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</si>
  <si>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</si>
  <si>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</si>
  <si>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</si>
  <si>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</si>
  <si>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</si>
  <si>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</si>
  <si>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</si>
  <si>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</si>
  <si>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</si>
  <si>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</si>
  <si>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</si>
  <si>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</si>
  <si>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</si>
  <si>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</si>
  <si>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</si>
  <si>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</si>
  <si>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</si>
  <si>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</si>
  <si>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</si>
  <si>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</si>
  <si>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</si>
  <si>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</si>
  <si>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</si>
  <si>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</si>
  <si>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</si>
  <si>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</si>
  <si>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</si>
  <si>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</si>
  <si>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</si>
  <si>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</si>
  <si>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</si>
  <si>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</si>
  <si>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</si>
  <si>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</si>
  <si>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</si>
  <si>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</si>
  <si>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</si>
  <si>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</si>
  <si>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</si>
  <si>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</si>
  <si>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</si>
  <si>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</si>
  <si>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</si>
  <si>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</si>
  <si>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</si>
  <si>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</si>
  <si>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</si>
  <si>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</si>
  <si>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</si>
  <si>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</si>
  <si>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</si>
  <si>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</si>
  <si>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</si>
  <si>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</si>
  <si>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</si>
  <si>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</si>
  <si>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</si>
  <si>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</si>
  <si>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</si>
  <si>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</si>
  <si>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</si>
  <si>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</si>
  <si>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</si>
  <si>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</si>
  <si>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</si>
  <si>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</si>
  <si>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</si>
  <si>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</si>
  <si>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</si>
  <si>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</si>
  <si>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</si>
  <si>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</si>
  <si>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</si>
  <si>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</si>
  <si>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</si>
  <si>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</si>
  <si>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</si>
  <si>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</si>
  <si>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</si>
  <si>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</si>
  <si>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</si>
  <si>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</si>
  <si>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</si>
  <si>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</si>
  <si>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</si>
  <si>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</si>
  <si>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</si>
  <si>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</si>
  <si>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</si>
  <si>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</si>
  <si>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</si>
  <si>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</si>
  <si>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</si>
  <si>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</si>
  <si>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</si>
  <si>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</si>
  <si>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</si>
  <si>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</si>
  <si>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</si>
  <si>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</si>
  <si>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</si>
  <si>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</si>
  <si>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</si>
  <si>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</si>
  <si>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</si>
  <si>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</si>
  <si>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</si>
  <si>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</si>
  <si>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</si>
  <si>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</si>
  <si>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</si>
  <si>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</si>
  <si>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</si>
  <si>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</si>
  <si>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</si>
  <si>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</si>
  <si>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</si>
  <si>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</si>
  <si>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</si>
  <si>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</si>
  <si>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</si>
  <si>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</si>
  <si>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</si>
  <si>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</si>
  <si>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</si>
  <si>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</si>
  <si>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</si>
  <si>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</si>
  <si>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</si>
  <si>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</si>
  <si>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</si>
  <si>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</si>
  <si>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</si>
  <si>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</si>
  <si>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</si>
  <si>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</si>
  <si>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</si>
  <si>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</si>
  <si>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</si>
  <si>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</si>
  <si>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</si>
  <si>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</si>
  <si>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</si>
  <si>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</si>
  <si>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</si>
  <si>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</si>
  <si>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</si>
  <si>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</si>
  <si>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</si>
  <si>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</si>
  <si>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</si>
  <si>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</si>
  <si>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</si>
  <si>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</si>
  <si>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</si>
  <si>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</si>
  <si>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</si>
  <si>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</si>
  <si>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</si>
  <si>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</si>
  <si>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</si>
  <si>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</si>
  <si>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</si>
  <si>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</si>
  <si>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</si>
  <si>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</si>
  <si>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</si>
  <si>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</si>
  <si>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</si>
  <si>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</si>
  <si>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</si>
  <si>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</si>
  <si>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</si>
  <si>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</si>
  <si>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</si>
  <si>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</si>
  <si>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</si>
  <si>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</si>
  <si>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</si>
  <si>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</si>
  <si>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</si>
  <si>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</si>
  <si>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</si>
  <si>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</si>
  <si>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</si>
  <si>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</si>
  <si>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</si>
  <si>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</si>
  <si>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</si>
  <si>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</si>
  <si>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</si>
  <si>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</si>
  <si>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</si>
  <si>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</si>
  <si>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</si>
  <si>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</si>
  <si>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</si>
  <si>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</si>
  <si>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</si>
  <si>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</si>
  <si>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</si>
  <si>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</si>
  <si>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</si>
  <si>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</si>
  <si>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</si>
  <si>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</si>
  <si>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</si>
  <si>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</si>
  <si>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</si>
  <si>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</si>
  <si>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</si>
  <si>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</si>
  <si>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</si>
  <si>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</si>
  <si>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</si>
  <si>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</si>
  <si>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</si>
  <si>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</si>
  <si>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</si>
  <si>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</si>
  <si>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</si>
  <si>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</si>
  <si>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</si>
  <si>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</si>
  <si>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</si>
  <si>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</si>
  <si>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</si>
  <si>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</si>
  <si>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</si>
  <si>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</si>
  <si>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</si>
  <si>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</si>
  <si>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</si>
  <si>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</si>
  <si>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</si>
  <si>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</si>
  <si>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</si>
  <si>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</si>
  <si>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</si>
  <si>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</si>
  <si>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</si>
  <si>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</si>
  <si>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</si>
  <si>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</si>
  <si>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</si>
  <si>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</si>
  <si>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</si>
  <si>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</si>
  <si>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</si>
  <si>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</si>
  <si>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</si>
  <si>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</si>
  <si>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</si>
  <si>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</si>
  <si>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</si>
  <si>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</si>
  <si>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</si>
  <si>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</si>
  <si>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</si>
  <si>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</si>
  <si>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</si>
  <si>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</si>
  <si>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</si>
  <si>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</si>
  <si>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</si>
  <si>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</si>
  <si>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</si>
  <si>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</si>
  <si>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</si>
  <si>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</si>
  <si>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</si>
  <si>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</si>
  <si>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</si>
  <si>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</si>
  <si>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</si>
  <si>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</si>
  <si>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</si>
  <si>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</si>
  <si>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</si>
  <si>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</si>
  <si>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</si>
  <si>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</si>
  <si>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</si>
  <si>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</si>
  <si>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</si>
  <si>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</si>
  <si>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</si>
  <si>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</si>
  <si>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</si>
  <si>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</si>
  <si>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</si>
  <si>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</si>
  <si>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</si>
  <si>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</si>
  <si>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</si>
  <si>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</si>
  <si>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</si>
  <si>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</si>
  <si>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</si>
  <si>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</si>
  <si>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</si>
  <si>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</si>
  <si>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</si>
  <si>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</si>
  <si>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</si>
  <si>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</si>
  <si>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</si>
  <si>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</si>
  <si>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</si>
  <si>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</si>
  <si>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</si>
  <si>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</si>
  <si>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</si>
  <si>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</si>
  <si>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</si>
  <si>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</si>
  <si>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</si>
  <si>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</si>
  <si>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</si>
  <si>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</si>
  <si>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</si>
  <si>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</si>
  <si>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</si>
  <si>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</si>
  <si>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</si>
  <si>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</si>
  <si>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</si>
  <si>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</si>
  <si>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</si>
  <si>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</si>
  <si>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</si>
  <si>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</si>
  <si>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</si>
  <si>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</si>
  <si>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</si>
  <si>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</si>
  <si>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</si>
  <si>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</si>
  <si>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</si>
  <si>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</si>
  <si>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</si>
  <si>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</si>
  <si>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</si>
  <si>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</si>
  <si>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</si>
  <si>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</si>
  <si>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</si>
  <si>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</si>
  <si>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</si>
  <si>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</si>
  <si>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</si>
  <si>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</si>
  <si>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</si>
  <si>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</si>
  <si>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</si>
  <si>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</si>
  <si>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</si>
  <si>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</si>
  <si>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</si>
  <si>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</si>
  <si>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</si>
  <si>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</si>
  <si>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</si>
  <si>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</si>
  <si>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</si>
  <si>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</si>
  <si>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</si>
  <si>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</si>
  <si>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</si>
  <si>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</si>
  <si>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</si>
  <si>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</si>
  <si>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</si>
  <si>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</si>
  <si>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</si>
  <si>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</si>
  <si>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</si>
  <si>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</si>
  <si>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</si>
  <si>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</si>
  <si>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</si>
  <si>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</si>
  <si>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</si>
  <si>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</si>
  <si>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</si>
  <si>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</si>
  <si>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</si>
  <si>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</si>
  <si>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</si>
  <si>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</si>
  <si>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</si>
  <si>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</si>
  <si>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</si>
  <si>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</si>
  <si>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</si>
  <si>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</si>
  <si>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</si>
  <si>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</si>
  <si>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</si>
  <si>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</si>
  <si>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</si>
  <si>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</si>
  <si>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</si>
  <si>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</si>
  <si>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</si>
  <si>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</si>
  <si>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</si>
  <si>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</si>
  <si>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</si>
  <si>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</si>
  <si>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</si>
  <si>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</si>
  <si>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</si>
  <si>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</si>
  <si>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</si>
  <si>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</si>
  <si>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</si>
  <si>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</si>
  <si>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</si>
  <si>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</si>
  <si>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</si>
  <si>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</si>
  <si>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</si>
  <si>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</si>
  <si>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</si>
  <si>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</si>
  <si>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</si>
  <si>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</si>
  <si>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</si>
  <si>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</si>
  <si>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</si>
  <si>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</si>
  <si>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</si>
  <si>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</si>
  <si>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</si>
  <si>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</si>
  <si>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</si>
  <si>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</si>
  <si>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</si>
  <si>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</si>
  <si>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</si>
  <si>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</si>
  <si>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</si>
  <si>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</si>
  <si>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</si>
  <si>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</si>
  <si>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</si>
  <si>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</si>
  <si>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</si>
  <si>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</si>
  <si>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</si>
  <si>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</si>
  <si>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</si>
  <si>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</si>
  <si>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</si>
  <si>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</si>
  <si>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</si>
  <si>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</si>
  <si>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</si>
  <si>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</si>
  <si>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</si>
  <si>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</si>
  <si>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</si>
  <si>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</si>
  <si>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</si>
  <si>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</si>
  <si>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</si>
  <si>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</si>
  <si>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</si>
  <si>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</si>
  <si>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</si>
  <si>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</si>
  <si>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</si>
  <si>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</si>
  <si>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</si>
  <si>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</si>
  <si>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</si>
  <si>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</si>
  <si>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</si>
  <si>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</si>
  <si>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</si>
  <si>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</si>
  <si>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</si>
  <si>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</si>
  <si>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</si>
  <si>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</si>
  <si>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</si>
  <si>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</si>
  <si>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</si>
  <si>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</si>
  <si>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</si>
  <si>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</si>
  <si>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</si>
  <si>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</si>
  <si>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</si>
  <si>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</si>
  <si>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</si>
  <si>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</si>
  <si>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</si>
  <si>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</si>
  <si>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</si>
  <si>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</si>
  <si>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</si>
  <si>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</si>
  <si>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</si>
  <si>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</si>
  <si>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</si>
  <si>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</si>
  <si>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</si>
  <si>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</si>
  <si>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</si>
  <si>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</si>
  <si>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</si>
  <si>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</si>
  <si>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</si>
  <si>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</si>
  <si>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</si>
  <si>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</si>
  <si>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</si>
  <si>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</si>
  <si>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</si>
  <si>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</si>
  <si>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</si>
  <si>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</si>
  <si>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</si>
  <si>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</si>
  <si>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</si>
  <si>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</si>
  <si>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</si>
  <si>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</si>
  <si>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</si>
  <si>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</si>
  <si>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</si>
  <si>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</si>
  <si>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</si>
  <si>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</si>
  <si>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</si>
  <si>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</si>
  <si>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</si>
  <si>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</si>
  <si>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</si>
  <si>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</si>
  <si>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</si>
  <si>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</si>
  <si>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</si>
  <si>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</si>
  <si>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</si>
  <si>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</si>
  <si>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</si>
  <si>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</si>
  <si>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</si>
  <si>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</si>
  <si>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</si>
  <si>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</si>
  <si>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</si>
  <si>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</si>
  <si>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</si>
  <si>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</si>
  <si>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</si>
  <si>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</si>
  <si>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</si>
  <si>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</si>
  <si>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</si>
  <si>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</si>
  <si>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</si>
  <si>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</si>
  <si>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</si>
  <si>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</si>
  <si>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</si>
  <si>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</si>
  <si>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</si>
  <si>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</si>
  <si>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</si>
  <si>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</si>
  <si>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</si>
  <si>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</si>
  <si>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</si>
  <si>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</si>
  <si>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</si>
  <si>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</si>
  <si>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</si>
  <si>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</si>
  <si>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</si>
  <si>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</si>
  <si>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</si>
  <si>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</si>
  <si>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</si>
  <si>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</si>
  <si>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</si>
  <si>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</si>
  <si>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</si>
  <si>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</si>
  <si>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</si>
  <si>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</si>
  <si>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</si>
  <si>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</si>
  <si>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</si>
  <si>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</si>
  <si>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</si>
  <si>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</si>
  <si>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</si>
  <si>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</si>
  <si>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</si>
  <si>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</si>
  <si>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</si>
  <si>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</si>
  <si>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</si>
  <si>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</si>
  <si>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</si>
  <si>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</si>
  <si>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</si>
  <si>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</si>
  <si>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</si>
  <si>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</si>
  <si>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</si>
  <si>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</si>
  <si>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</si>
  <si>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</si>
  <si>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</si>
  <si>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</si>
  <si>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</si>
  <si>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</si>
  <si>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</si>
  <si>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</si>
  <si>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</si>
  <si>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</si>
  <si>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</si>
  <si>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</si>
  <si>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</si>
  <si>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</si>
  <si>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</si>
  <si>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</si>
  <si>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</si>
  <si>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</si>
  <si>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</si>
  <si>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</si>
  <si>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</si>
  <si>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</si>
  <si>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</si>
  <si>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</si>
  <si>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</si>
  <si>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</si>
  <si>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</si>
  <si>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</si>
  <si>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</si>
  <si>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</si>
  <si>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</si>
  <si>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</si>
  <si>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</si>
  <si>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</si>
  <si>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</si>
  <si>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</si>
  <si>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</si>
  <si>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</si>
  <si>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</si>
  <si>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</si>
  <si>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</si>
  <si>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</si>
  <si>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</si>
  <si>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</si>
  <si>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</si>
  <si>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</si>
  <si>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</si>
  <si>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</si>
  <si>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</si>
  <si>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</si>
  <si>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</si>
  <si>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</si>
  <si>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</si>
  <si>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</si>
  <si>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</si>
  <si>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</si>
  <si>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</si>
  <si>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</si>
  <si>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</si>
  <si>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</si>
  <si>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</si>
  <si>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</si>
  <si>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</si>
  <si>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</si>
  <si>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</si>
  <si>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</si>
  <si>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</si>
  <si>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</si>
  <si>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</si>
  <si>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</si>
  <si>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</si>
  <si>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</si>
  <si>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</si>
  <si>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</si>
  <si>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</si>
  <si>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</si>
  <si>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</si>
  <si>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</si>
  <si>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</si>
  <si>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</si>
  <si>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</si>
  <si>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</si>
  <si>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</si>
  <si>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</si>
  <si>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</si>
  <si>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</si>
  <si>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</si>
  <si>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</si>
  <si>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</si>
  <si>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</si>
  <si>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</si>
  <si>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</si>
  <si>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</si>
  <si>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</si>
  <si>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</si>
  <si>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</si>
  <si>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</si>
  <si>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</si>
  <si>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</si>
  <si>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</si>
  <si>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</si>
  <si>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</si>
  <si>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</si>
  <si>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</si>
  <si>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</si>
  <si>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</si>
  <si>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</si>
  <si>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</si>
  <si>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</si>
  <si>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</si>
  <si>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</si>
  <si>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</si>
  <si>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</si>
  <si>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</si>
  <si>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</si>
  <si>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</si>
  <si>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</si>
  <si>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</si>
  <si>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</si>
  <si>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</si>
  <si>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</si>
  <si>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</si>
  <si>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</si>
  <si>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</si>
  <si>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</si>
  <si>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</si>
  <si>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</si>
  <si>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</si>
  <si>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</si>
  <si>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</si>
  <si>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</si>
  <si>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</si>
  <si>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</si>
  <si>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</si>
  <si>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</si>
  <si>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</si>
  <si>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</si>
  <si>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</si>
  <si>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</si>
  <si>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</si>
  <si>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</si>
  <si>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</si>
  <si>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</si>
  <si>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</si>
  <si>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</si>
  <si>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</si>
  <si>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</si>
  <si>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</si>
  <si>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</si>
  <si>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</si>
  <si>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</si>
  <si>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</si>
  <si>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</si>
  <si>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</si>
  <si>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</si>
  <si>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</si>
  <si>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</si>
  <si>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</si>
  <si>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</si>
  <si>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</si>
  <si>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</si>
  <si>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</si>
  <si>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</si>
  <si>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</si>
  <si>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</si>
  <si>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</si>
  <si>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</si>
  <si>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</si>
  <si>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</si>
  <si>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</si>
  <si>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</si>
  <si>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</si>
  <si>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</si>
  <si>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</si>
  <si>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</si>
  <si>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</si>
  <si>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</si>
  <si>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</si>
  <si>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</si>
  <si>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</si>
  <si>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</si>
  <si>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</si>
  <si>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</si>
  <si>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</si>
  <si>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</si>
  <si>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</si>
  <si>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</si>
  <si>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</si>
  <si>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</si>
  <si>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</si>
  <si>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</si>
  <si>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</si>
  <si>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</si>
  <si>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</si>
  <si>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</si>
  <si>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</si>
  <si>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</si>
  <si>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</si>
  <si>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</si>
  <si>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</si>
  <si>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</si>
  <si>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</si>
  <si>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</si>
  <si>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</si>
  <si>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</si>
  <si>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</si>
  <si>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</si>
  <si>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</si>
  <si>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</si>
  <si>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</si>
  <si>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</si>
  <si>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</si>
  <si>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</si>
  <si>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</si>
  <si>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</si>
  <si>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</si>
  <si>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</si>
  <si>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</si>
  <si>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</si>
  <si>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</si>
  <si>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</si>
  <si>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</si>
  <si>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</si>
  <si>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</si>
  <si>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</si>
  <si>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</si>
  <si>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</si>
  <si>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</si>
  <si>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</si>
  <si>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</si>
  <si>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</si>
  <si>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</si>
  <si>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</si>
  <si>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</si>
  <si>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</si>
  <si>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</si>
  <si>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</si>
  <si>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</si>
  <si>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</si>
  <si>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</si>
  <si>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</si>
  <si>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</si>
  <si>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</si>
  <si>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</si>
  <si>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</si>
  <si>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</si>
  <si>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</si>
  <si>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</si>
  <si>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</si>
  <si>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</si>
  <si>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</si>
  <si>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</si>
  <si>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</si>
  <si>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</si>
  <si>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</si>
  <si>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</si>
  <si>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</si>
  <si>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</si>
  <si>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</si>
  <si>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</si>
  <si>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</si>
  <si>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</si>
  <si>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</si>
  <si>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</si>
  <si>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</si>
  <si>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</si>
  <si>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</si>
  <si>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</si>
  <si>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</si>
  <si>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</si>
  <si>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</si>
  <si>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</si>
  <si>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</si>
  <si>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</si>
  <si>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</si>
  <si>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</si>
  <si>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</si>
  <si>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</si>
  <si>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</si>
  <si>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</si>
  <si>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</si>
  <si>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</si>
  <si>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</si>
  <si>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</si>
  <si>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</si>
  <si>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</si>
  <si>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</si>
  <si>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</si>
  <si>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</si>
  <si>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</si>
  <si>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</si>
  <si>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</si>
  <si>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</si>
  <si>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</si>
  <si>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</si>
  <si>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</si>
  <si>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</si>
  <si>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</si>
  <si>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</si>
  <si>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</si>
  <si>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</si>
  <si>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</si>
  <si>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</si>
  <si>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</si>
  <si>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</si>
  <si>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</si>
  <si>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</si>
  <si>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</si>
  <si>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</si>
  <si>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</si>
  <si>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</si>
  <si>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</si>
  <si>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</si>
  <si>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</si>
  <si>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</si>
  <si>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</si>
  <si>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</si>
  <si>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</si>
  <si>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</si>
  <si>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</si>
  <si>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</si>
  <si>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</si>
  <si>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</si>
  <si>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</si>
  <si>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</si>
  <si>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</si>
  <si>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</si>
  <si>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</si>
  <si>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</si>
  <si>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</si>
  <si>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</si>
  <si>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</si>
  <si>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</si>
  <si>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</si>
  <si>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</si>
  <si>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</si>
  <si>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</si>
  <si>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</si>
  <si>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</si>
  <si>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</si>
  <si>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</si>
  <si>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</si>
  <si>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</si>
  <si>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</si>
  <si>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</si>
  <si>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</si>
  <si>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</si>
  <si>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</si>
  <si>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</si>
  <si>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</si>
  <si>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</si>
  <si>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</si>
  <si>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</si>
  <si>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</si>
  <si>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</si>
  <si>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</si>
  <si>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</si>
  <si>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</si>
  <si>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</si>
  <si>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</si>
  <si>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</si>
  <si>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</si>
  <si>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</si>
  <si>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</si>
  <si>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</si>
  <si>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</si>
  <si>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</si>
  <si>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</si>
  <si>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</si>
  <si>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</si>
  <si>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</si>
  <si>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</si>
  <si>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</si>
  <si>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</si>
  <si>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</si>
  <si>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</si>
  <si>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</si>
  <si>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</si>
  <si>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</si>
  <si>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</si>
  <si>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</si>
  <si>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</si>
  <si>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</si>
  <si>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</si>
  <si>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</si>
  <si>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</si>
  <si>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</si>
  <si>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</si>
  <si>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</si>
  <si>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</si>
  <si>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</si>
  <si>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</si>
  <si>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</si>
  <si>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</si>
  <si>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</si>
  <si>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</si>
  <si>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</si>
  <si>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</si>
  <si>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</si>
  <si>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</si>
  <si>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</si>
  <si>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</si>
  <si>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</si>
  <si>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</si>
  <si>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</si>
  <si>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</si>
  <si>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</si>
  <si>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</si>
  <si>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</si>
  <si>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</si>
  <si>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</si>
  <si>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</si>
  <si>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</si>
  <si>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</si>
  <si>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</si>
  <si>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</si>
  <si>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</si>
  <si>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</si>
  <si>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</si>
  <si>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</si>
  <si>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</si>
  <si>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</si>
  <si>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</si>
  <si>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</si>
  <si>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</si>
  <si>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</si>
  <si>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</si>
  <si>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</si>
  <si>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</si>
  <si>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</si>
  <si>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</si>
  <si>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</si>
  <si>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</si>
  <si>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</si>
  <si>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</si>
  <si>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</si>
  <si>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</si>
  <si>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</si>
  <si>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</si>
  <si>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</si>
  <si>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</si>
  <si>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</si>
  <si>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</si>
  <si>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</si>
  <si>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</si>
  <si>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</si>
  <si>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</si>
  <si>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</si>
  <si>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</si>
  <si>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</si>
  <si>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</si>
  <si>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</si>
  <si>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</si>
  <si>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</si>
  <si>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</si>
  <si>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</si>
  <si>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</si>
  <si>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</si>
  <si>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</si>
  <si>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</si>
  <si>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</si>
  <si>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</si>
  <si>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</si>
  <si>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</si>
  <si>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</si>
  <si>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</si>
  <si>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</si>
  <si>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</si>
  <si>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</si>
  <si>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</si>
  <si>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</si>
  <si>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</si>
  <si>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</si>
  <si>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</si>
  <si>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</si>
  <si>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</si>
  <si>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</si>
  <si>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</si>
  <si>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</si>
  <si>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</si>
  <si>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</si>
  <si>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</si>
  <si>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</si>
  <si>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</si>
  <si>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</si>
  <si>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</si>
  <si>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</si>
  <si>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</si>
  <si>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</si>
  <si>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</si>
  <si>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</si>
  <si>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</si>
  <si>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</si>
  <si>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</si>
  <si>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</si>
  <si>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</si>
  <si>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</si>
  <si>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</si>
  <si>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</si>
  <si>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</si>
  <si>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</si>
  <si>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</si>
  <si>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</si>
  <si>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</si>
  <si>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</si>
  <si>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</si>
  <si>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</si>
  <si>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</si>
  <si>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</si>
  <si>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</si>
  <si>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</si>
  <si>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</si>
  <si>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</si>
  <si>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</si>
  <si>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</si>
  <si>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</si>
  <si>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</si>
  <si>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</si>
  <si>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</si>
  <si>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</si>
  <si>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</si>
  <si>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</si>
  <si>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</si>
  <si>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</si>
  <si>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</si>
  <si>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</si>
  <si>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</si>
  <si>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</si>
  <si>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</si>
  <si>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</si>
  <si>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</si>
  <si>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</si>
  <si>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</si>
  <si>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</si>
  <si>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</si>
  <si>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</si>
  <si>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</si>
  <si>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</si>
  <si>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</si>
  <si>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</si>
  <si>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</si>
  <si>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</si>
  <si>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</si>
  <si>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</si>
  <si>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</si>
  <si>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</si>
  <si>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</si>
  <si>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</si>
  <si>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</si>
  <si>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</si>
  <si>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</si>
  <si>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</si>
  <si>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</si>
  <si>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</si>
  <si>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</si>
  <si>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</si>
  <si>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</si>
  <si>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</si>
  <si>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</si>
  <si>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</si>
  <si>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</si>
  <si>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</si>
  <si>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</si>
  <si>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</si>
  <si>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</si>
  <si>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</si>
  <si>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</si>
  <si>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</si>
  <si>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</si>
  <si>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</si>
  <si>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</si>
  <si>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</si>
  <si>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</si>
  <si>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</si>
  <si>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</si>
  <si>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</si>
  <si>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</si>
  <si>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</si>
  <si>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</si>
  <si>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</si>
  <si>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</si>
  <si>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</si>
  <si>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</si>
  <si>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</si>
  <si>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</si>
  <si>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</si>
  <si>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</si>
  <si>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</si>
  <si>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</si>
  <si>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</si>
  <si>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</si>
  <si>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</si>
  <si>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</si>
  <si>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</si>
  <si>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</si>
  <si>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</si>
  <si>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</si>
  <si>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</si>
  <si>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</si>
  <si>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</si>
  <si>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</si>
  <si>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</si>
  <si>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</si>
  <si>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</si>
  <si>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</si>
  <si>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</si>
  <si>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</si>
  <si>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</si>
  <si>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</si>
  <si>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</si>
  <si>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</si>
  <si>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</si>
  <si>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</si>
  <si>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</si>
  <si>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</si>
  <si>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</si>
  <si>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</si>
  <si>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</si>
  <si>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</si>
  <si>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</si>
  <si>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</si>
  <si>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</si>
  <si>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</si>
  <si>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</si>
  <si>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</si>
  <si>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</si>
  <si>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</si>
  <si>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</si>
  <si>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</si>
  <si>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</si>
  <si>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</si>
  <si>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</si>
  <si>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</si>
  <si>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</si>
  <si>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</si>
  <si>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</si>
  <si>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</si>
  <si>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</si>
  <si>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</si>
  <si>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</si>
  <si>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</si>
  <si>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</si>
  <si>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</si>
  <si>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</si>
  <si>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</si>
  <si>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</si>
  <si>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</si>
  <si>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</si>
  <si>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</si>
  <si>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</si>
  <si>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</si>
  <si>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</si>
  <si>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</si>
  <si>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</si>
  <si>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</si>
  <si>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</si>
  <si>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</si>
  <si>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</si>
  <si>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</si>
  <si>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</si>
  <si>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</si>
  <si>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</si>
  <si>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</si>
  <si>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</si>
  <si>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</si>
  <si>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</si>
  <si>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</si>
  <si>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</si>
  <si>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</si>
  <si>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</si>
  <si>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</si>
  <si>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</si>
  <si>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</si>
  <si>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</si>
  <si>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</si>
  <si>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</si>
  <si>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</si>
  <si>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</si>
  <si>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</si>
  <si>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</si>
  <si>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</si>
  <si>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</si>
  <si>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</si>
  <si>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</si>
  <si>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</si>
  <si>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</si>
  <si>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</si>
  <si>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</si>
  <si>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</si>
  <si>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</si>
  <si>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</si>
  <si>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</si>
  <si>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</si>
  <si>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</si>
  <si>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</si>
  <si>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</si>
  <si>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</si>
  <si>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</si>
  <si>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</si>
  <si>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</si>
  <si>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</si>
  <si>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</si>
  <si>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</si>
  <si>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</si>
  <si>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</si>
  <si>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</si>
  <si>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</si>
  <si>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</si>
  <si>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</si>
  <si>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</si>
  <si>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</si>
  <si>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</si>
  <si>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</si>
  <si>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</si>
  <si>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</si>
  <si>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</si>
  <si>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</si>
  <si>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</si>
  <si>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</si>
  <si>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</si>
  <si>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</si>
  <si>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</si>
  <si>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</si>
  <si>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</si>
  <si>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</si>
  <si>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</si>
  <si>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</si>
  <si>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</si>
  <si>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</si>
  <si>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</si>
  <si>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</si>
  <si>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</si>
  <si>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</si>
  <si>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</si>
  <si>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</si>
  <si>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</si>
  <si>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</si>
  <si>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</si>
  <si>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</si>
  <si>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</si>
  <si>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</si>
  <si>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</si>
  <si>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</si>
  <si>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</si>
  <si>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</si>
  <si>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</si>
  <si>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</si>
  <si>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</si>
  <si>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</si>
  <si>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</si>
  <si>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</si>
  <si>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</si>
  <si>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</si>
  <si>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</si>
  <si>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</si>
  <si>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</si>
  <si>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</si>
  <si>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</si>
  <si>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</si>
  <si>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</si>
  <si>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</si>
  <si>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</si>
  <si>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</si>
  <si>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</si>
  <si>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</si>
  <si>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</si>
  <si>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</si>
  <si>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</si>
  <si>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</si>
  <si>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</si>
  <si>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</si>
  <si>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</si>
  <si>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</si>
  <si>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</si>
  <si>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</si>
  <si>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</si>
  <si>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</si>
  <si>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</si>
  <si>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</si>
  <si>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</si>
  <si>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</si>
  <si>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</si>
  <si>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</si>
  <si>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</si>
  <si>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</si>
  <si>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</si>
  <si>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</si>
  <si>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</si>
  <si>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</si>
  <si>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</si>
  <si>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</si>
  <si>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</si>
  <si>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</si>
  <si>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</si>
  <si>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</si>
  <si>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</si>
  <si>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</si>
  <si>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</si>
  <si>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</si>
  <si>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</si>
  <si>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</si>
  <si>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</si>
  <si>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</si>
  <si>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</si>
  <si>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</si>
  <si>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</si>
  <si>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</si>
  <si>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</si>
  <si>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</si>
  <si>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</si>
  <si>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</si>
  <si>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</si>
  <si>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</si>
  <si>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</si>
  <si>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</si>
  <si>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</si>
  <si>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</si>
  <si>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</si>
  <si>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</si>
  <si>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</si>
  <si>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</si>
  <si>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</si>
  <si>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</si>
  <si>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</si>
  <si>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</si>
  <si>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</si>
  <si>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</si>
  <si>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</si>
  <si>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</si>
  <si>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</si>
  <si>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</si>
  <si>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</si>
  <si>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</si>
  <si>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</si>
  <si>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</si>
  <si>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</si>
  <si>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</si>
  <si>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</si>
  <si>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</si>
  <si>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</si>
  <si>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</si>
  <si>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</si>
  <si>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</si>
  <si>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</si>
  <si>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</si>
  <si>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</si>
  <si>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</si>
  <si>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</si>
  <si>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</si>
  <si>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</si>
  <si>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</si>
  <si>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</si>
  <si>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</si>
  <si>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</si>
  <si>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</si>
  <si>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</si>
  <si>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</si>
  <si>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</si>
  <si>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</si>
  <si>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</si>
  <si>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</si>
  <si>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</si>
  <si>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</si>
  <si>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</si>
  <si>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</si>
  <si>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</si>
  <si>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</si>
  <si>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</si>
  <si>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</si>
  <si>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</si>
  <si>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</si>
  <si>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</si>
  <si>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</si>
  <si>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</si>
  <si>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</si>
  <si>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</si>
  <si>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</si>
  <si>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</si>
  <si>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</si>
  <si>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</si>
  <si>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</si>
  <si>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</si>
  <si>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</si>
  <si>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</si>
  <si>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</si>
  <si>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</si>
  <si>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</si>
  <si>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</si>
  <si>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</si>
  <si>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</si>
  <si>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</si>
  <si>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</si>
  <si>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</si>
  <si>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</si>
  <si>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</si>
  <si>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</si>
  <si>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</si>
  <si>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</si>
  <si>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</si>
  <si>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</si>
  <si>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</si>
  <si>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</si>
  <si>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</si>
  <si>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</si>
  <si>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</si>
  <si>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</si>
  <si>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</si>
  <si>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</si>
  <si>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</si>
  <si>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</si>
  <si>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</si>
  <si>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</si>
  <si>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</si>
  <si>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</si>
  <si>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</si>
  <si>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</si>
  <si>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</si>
  <si>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</si>
  <si>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</si>
  <si>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</si>
  <si>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</si>
  <si>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</si>
  <si>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</si>
  <si>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</si>
  <si>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</si>
  <si>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</si>
  <si>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</si>
  <si>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</si>
  <si>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</si>
  <si>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</si>
  <si>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</si>
  <si>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</si>
  <si>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</si>
  <si>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</si>
  <si>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</si>
  <si>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</si>
  <si>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</si>
  <si>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</si>
  <si>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</si>
  <si>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</si>
  <si>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</si>
  <si>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</si>
  <si>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</si>
  <si>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</si>
  <si>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</si>
  <si>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</si>
  <si>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</si>
  <si>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</si>
  <si>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</si>
  <si>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</si>
  <si>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</si>
  <si>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</si>
  <si>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</si>
  <si>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</si>
  <si>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</si>
  <si>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</si>
  <si>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</si>
  <si>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</si>
  <si>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</si>
  <si>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</si>
  <si>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</si>
  <si>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</si>
  <si>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</si>
  <si>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</si>
  <si>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</si>
  <si>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</si>
  <si>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</si>
  <si>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</si>
  <si>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</si>
  <si>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</si>
  <si>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</si>
  <si>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</si>
  <si>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</si>
  <si>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</si>
  <si>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</si>
  <si>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</si>
  <si>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</si>
  <si>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</si>
  <si>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</si>
  <si>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</si>
  <si>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</si>
  <si>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</si>
  <si>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</si>
  <si>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</si>
  <si>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</si>
  <si>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</si>
  <si>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</si>
  <si>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</si>
  <si>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</si>
  <si>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</si>
  <si>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</si>
  <si>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</si>
  <si>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</si>
  <si>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</si>
  <si>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</si>
  <si>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</si>
  <si>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</si>
  <si>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</si>
  <si>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</si>
  <si>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</si>
  <si>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</si>
  <si>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</si>
  <si>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</si>
  <si>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</si>
  <si>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</si>
  <si>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</si>
  <si>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</si>
  <si>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</si>
  <si>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</si>
  <si>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</si>
  <si>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</si>
  <si>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</si>
  <si>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</si>
  <si>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</si>
  <si>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</si>
  <si>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</si>
  <si>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</si>
  <si>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</si>
  <si>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</si>
  <si>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</si>
  <si>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</si>
  <si>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</si>
  <si>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</si>
  <si>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</si>
  <si>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</si>
  <si>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</si>
  <si>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</si>
  <si>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</si>
  <si>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</si>
  <si>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</si>
  <si>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</si>
  <si>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</si>
  <si>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</si>
  <si>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</si>
  <si>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</si>
  <si>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</si>
  <si>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</si>
  <si>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</si>
  <si>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</si>
  <si>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</si>
  <si>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</si>
  <si>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</si>
  <si>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</si>
  <si>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</si>
  <si>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</si>
  <si>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</si>
  <si>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</si>
  <si>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</si>
  <si>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</si>
  <si>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</si>
  <si>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</si>
  <si>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</si>
  <si>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</si>
  <si>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</si>
  <si>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</si>
  <si>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</si>
  <si>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</si>
  <si>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</si>
  <si>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</si>
  <si>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</si>
  <si>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</si>
  <si>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</si>
  <si>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</si>
  <si>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</si>
  <si>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</si>
  <si>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</si>
  <si>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</si>
  <si>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</si>
  <si>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</si>
  <si>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</si>
  <si>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</si>
  <si>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</si>
  <si>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</si>
  <si>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</si>
  <si>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</si>
  <si>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</si>
  <si>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</si>
  <si>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</si>
  <si>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</si>
  <si>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</si>
  <si>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</si>
  <si>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</si>
  <si>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</si>
  <si>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</si>
  <si>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</si>
  <si>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</si>
  <si>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</si>
  <si>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</si>
  <si>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</si>
  <si>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</si>
  <si>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</si>
  <si>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</si>
  <si>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</si>
  <si>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</si>
  <si>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</si>
  <si>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</si>
  <si>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</si>
  <si>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</si>
  <si>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</si>
  <si>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</si>
  <si>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</si>
  <si>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</si>
  <si>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</si>
  <si>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</si>
  <si>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</si>
  <si>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</si>
  <si>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</si>
  <si>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</si>
  <si>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</si>
  <si>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</si>
  <si>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</si>
  <si>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</si>
  <si>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</si>
  <si>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</si>
  <si>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</si>
  <si>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</si>
  <si>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</si>
  <si>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</si>
  <si>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</si>
  <si>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</si>
  <si>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</si>
  <si>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</si>
  <si>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</si>
  <si>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</si>
  <si>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</si>
  <si>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</si>
  <si>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</si>
  <si>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</si>
  <si>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</si>
  <si>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</si>
  <si>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</si>
  <si>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</si>
  <si>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</si>
  <si>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</si>
  <si>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</si>
  <si>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</si>
  <si>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</si>
  <si>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</si>
  <si>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</si>
  <si>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</si>
  <si>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</si>
  <si>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</si>
  <si>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</si>
  <si>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</si>
  <si>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</si>
  <si>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</si>
  <si>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</si>
  <si>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</si>
  <si>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</si>
  <si>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</si>
  <si>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</si>
  <si>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</si>
  <si>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</si>
  <si>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</si>
  <si>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</si>
  <si>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</si>
  <si>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</si>
  <si>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</si>
  <si>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</si>
  <si>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</si>
  <si>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</si>
  <si>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</si>
  <si>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</si>
  <si>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</si>
  <si>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</si>
  <si>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</si>
  <si>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</si>
  <si>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</si>
  <si>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</si>
  <si>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</si>
  <si>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</si>
  <si>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</si>
  <si>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</si>
  <si>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</si>
  <si>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</si>
  <si>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</si>
  <si>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</si>
  <si>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</si>
  <si>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</si>
  <si>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</si>
  <si>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</si>
  <si>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</si>
  <si>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</si>
  <si>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</si>
  <si>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</si>
  <si>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</si>
  <si>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</si>
  <si>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</si>
  <si>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</si>
  <si>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</si>
  <si>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</si>
  <si>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</si>
  <si>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</si>
  <si>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</si>
  <si>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</si>
  <si>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</si>
  <si>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</si>
  <si>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</si>
  <si>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</si>
  <si>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</si>
  <si>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</si>
  <si>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</si>
  <si>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</si>
  <si>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</si>
  <si>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</si>
  <si>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</si>
  <si>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</si>
  <si>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</si>
  <si>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</si>
  <si>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</si>
  <si>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</si>
  <si>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</si>
  <si>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</si>
  <si>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</si>
  <si>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</si>
  <si>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</si>
  <si>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</si>
  <si>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</si>
  <si>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</si>
  <si>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</si>
  <si>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</si>
  <si>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</si>
  <si>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</si>
  <si>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</si>
  <si>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</si>
  <si>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</si>
  <si>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</si>
  <si>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</si>
  <si>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</si>
  <si>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</si>
  <si>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</si>
  <si>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</si>
  <si>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</si>
  <si>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</si>
  <si>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</si>
  <si>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</si>
  <si>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</si>
  <si>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</si>
  <si>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</si>
  <si>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</si>
  <si>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</si>
  <si>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</si>
  <si>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</si>
  <si>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</si>
  <si>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</si>
  <si>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</si>
  <si>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</si>
  <si>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</si>
  <si>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</si>
  <si>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</si>
  <si>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</si>
  <si>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</si>
  <si>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</si>
  <si>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</si>
  <si>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</si>
  <si>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</si>
  <si>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</si>
  <si>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</si>
  <si>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</si>
  <si>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</si>
  <si>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</si>
  <si>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</si>
  <si>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</si>
  <si>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</si>
  <si>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</si>
  <si>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</si>
  <si>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</si>
  <si>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</si>
  <si>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</si>
  <si>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</si>
  <si>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</si>
  <si>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</si>
  <si>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</si>
  <si>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</si>
  <si>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</si>
  <si>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</si>
  <si>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</si>
  <si>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</si>
  <si>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</si>
  <si>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</si>
  <si>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</si>
  <si>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</si>
  <si>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</si>
  <si>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</si>
  <si>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</si>
  <si>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</si>
  <si>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</si>
  <si>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</si>
  <si>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</si>
  <si>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</si>
  <si>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</si>
  <si>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</si>
  <si>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</si>
  <si>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</si>
  <si>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</si>
  <si>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</si>
  <si>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</si>
  <si>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</si>
  <si>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</si>
  <si>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</si>
  <si>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</si>
  <si>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</si>
  <si>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</si>
  <si>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</si>
  <si>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</si>
  <si>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</si>
  <si>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</si>
  <si>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</si>
  <si>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</si>
  <si>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</si>
  <si>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</si>
  <si>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</si>
  <si>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</si>
  <si>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</si>
  <si>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</si>
  <si>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</si>
  <si>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</si>
  <si>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</si>
  <si>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</si>
  <si>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</si>
  <si>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</si>
  <si>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</si>
  <si>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</si>
  <si>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</si>
  <si>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</si>
  <si>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</si>
  <si>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</si>
  <si>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</si>
  <si>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</si>
  <si>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</si>
  <si>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</si>
  <si>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</si>
  <si>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</si>
  <si>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</si>
  <si>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</si>
  <si>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</si>
  <si>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</si>
  <si>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</si>
  <si>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</si>
  <si>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</si>
  <si>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</si>
  <si>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</si>
  <si>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</si>
  <si>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</si>
  <si>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</si>
  <si>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</si>
  <si>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</si>
  <si>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</si>
  <si>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</si>
  <si>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</si>
  <si>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</si>
  <si>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</si>
  <si>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</si>
  <si>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</si>
  <si>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</si>
  <si>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</si>
  <si>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</si>
  <si>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</si>
  <si>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</si>
  <si>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</si>
  <si>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</si>
  <si>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</si>
  <si>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</si>
  <si>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</si>
  <si>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</si>
  <si>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</si>
  <si>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</si>
  <si>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</si>
  <si>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</si>
  <si>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</si>
  <si>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</si>
  <si>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</si>
  <si>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</si>
  <si>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</si>
  <si>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</si>
  <si>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</si>
  <si>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</si>
  <si>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</si>
  <si>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</si>
  <si>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</si>
  <si>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</si>
  <si>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</si>
  <si>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</si>
  <si>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</si>
  <si>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</si>
  <si>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</si>
  <si>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</si>
  <si>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</si>
  <si>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</si>
  <si>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</si>
  <si>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</si>
  <si>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</si>
  <si>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</si>
  <si>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</si>
  <si>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</si>
  <si>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</si>
  <si>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</si>
  <si>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</si>
  <si>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</si>
  <si>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</si>
  <si>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</si>
  <si>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</si>
  <si>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</si>
  <si>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</si>
  <si>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</si>
  <si>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</si>
  <si>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</si>
  <si>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</si>
  <si>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</si>
  <si>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</si>
  <si>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</si>
  <si>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</si>
  <si>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</si>
  <si>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</si>
  <si>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</si>
  <si>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</si>
  <si>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</si>
  <si>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</si>
  <si>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</si>
  <si>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</si>
  <si>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</si>
  <si>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</si>
  <si>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</si>
  <si>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</si>
  <si>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</si>
  <si>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</si>
  <si>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</si>
  <si>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</si>
  <si>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</si>
  <si>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</si>
  <si>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</si>
  <si>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</si>
  <si>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</si>
  <si>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</si>
  <si>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</si>
  <si>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</si>
  <si>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</si>
  <si>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</si>
  <si>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</si>
  <si>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</si>
  <si>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</si>
  <si>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</si>
  <si>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</si>
  <si>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</si>
  <si>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</si>
  <si>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</si>
  <si>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</si>
  <si>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</si>
  <si>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</si>
  <si>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</si>
  <si>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</si>
  <si>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</si>
  <si>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</si>
  <si>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</si>
  <si>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</si>
  <si>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</si>
  <si>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</si>
  <si>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</si>
  <si>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</si>
  <si>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</si>
  <si>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</si>
  <si>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</si>
  <si>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</si>
  <si>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</si>
  <si>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</si>
  <si>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</si>
  <si>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</si>
  <si>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</si>
  <si>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</si>
  <si>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</si>
  <si>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</si>
  <si>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</si>
  <si>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</si>
  <si>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</si>
  <si>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</si>
  <si>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</si>
  <si>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</si>
  <si>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</si>
  <si>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</si>
  <si>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</si>
  <si>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</si>
  <si>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</si>
  <si>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</si>
  <si>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</si>
  <si>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</si>
  <si>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</si>
  <si>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</si>
  <si>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</si>
  <si>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</si>
  <si>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</si>
  <si>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</si>
  <si>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</si>
  <si>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</si>
  <si>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</si>
  <si>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</si>
  <si>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</si>
  <si>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</si>
  <si>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</si>
  <si>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</si>
  <si>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</si>
  <si>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</si>
  <si>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</si>
  <si>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</si>
  <si>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</si>
  <si>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</si>
  <si>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</si>
  <si>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</si>
  <si>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</si>
  <si>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</si>
  <si>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</si>
  <si>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</si>
  <si>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</si>
  <si>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</si>
  <si>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</si>
  <si>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</si>
  <si>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</si>
  <si>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</si>
  <si>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</si>
  <si>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</si>
  <si>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</si>
  <si>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</si>
  <si>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</si>
  <si>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</si>
  <si>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</si>
  <si>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</si>
  <si>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</si>
  <si>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</si>
  <si>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</si>
  <si>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</si>
  <si>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</si>
  <si>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</si>
  <si>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</si>
  <si>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</si>
  <si>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</si>
  <si>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</si>
  <si>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</si>
  <si>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</si>
  <si>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</si>
  <si>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</si>
  <si>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</si>
  <si>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</si>
  <si>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</si>
  <si>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</si>
  <si>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</si>
  <si>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</si>
  <si>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</si>
  <si>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</si>
  <si>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</si>
  <si>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</si>
  <si>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</si>
  <si>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</si>
  <si>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</si>
  <si>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</si>
  <si>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</si>
  <si>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</si>
  <si>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</si>
  <si>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</si>
  <si>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</si>
  <si>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</si>
  <si>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</si>
  <si>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</si>
  <si>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</si>
  <si>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</si>
  <si>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</si>
  <si>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</si>
  <si>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</si>
  <si>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</si>
  <si>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</si>
  <si>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</si>
  <si>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</si>
  <si>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</si>
  <si>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</si>
  <si>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</si>
  <si>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</si>
  <si>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</si>
  <si>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</si>
  <si>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</si>
  <si>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</si>
  <si>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</si>
  <si>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</si>
  <si>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</si>
  <si>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</si>
  <si>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</si>
  <si>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</si>
  <si>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</si>
  <si>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</si>
  <si>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</si>
  <si>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</si>
  <si>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</si>
  <si>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</si>
  <si>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</si>
  <si>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</si>
  <si>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</si>
  <si>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</si>
  <si>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</si>
  <si>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</si>
  <si>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</si>
  <si>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</si>
  <si>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</si>
  <si>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</si>
  <si>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</si>
  <si>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</si>
  <si>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</si>
  <si>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</si>
  <si>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</si>
  <si>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</si>
  <si>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</si>
  <si>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</si>
  <si>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</si>
  <si>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</si>
  <si>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</si>
  <si>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</si>
  <si>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</si>
  <si>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</si>
  <si>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</si>
  <si>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</si>
  <si>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</si>
  <si>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</si>
  <si>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</si>
  <si>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</si>
  <si>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</si>
  <si>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</si>
  <si>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</si>
  <si>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</si>
  <si>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</si>
  <si>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</si>
  <si>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</si>
  <si>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</si>
  <si>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</si>
  <si>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</si>
  <si>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</si>
  <si>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</si>
  <si>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</si>
  <si>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</si>
  <si>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</si>
  <si>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</si>
  <si>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</si>
  <si>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</si>
  <si>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</si>
  <si>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</si>
  <si>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</si>
  <si>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</si>
  <si>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</si>
  <si>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</si>
  <si>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</si>
  <si>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</si>
  <si>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</si>
  <si>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</si>
  <si>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</si>
  <si>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</si>
  <si>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</si>
  <si>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</si>
  <si>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</si>
  <si>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</si>
  <si>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</si>
  <si>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</si>
  <si>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</si>
  <si>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</si>
  <si>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</si>
  <si>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</si>
  <si>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</si>
  <si>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</si>
  <si>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</si>
  <si>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</si>
  <si>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</si>
  <si>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</si>
  <si>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</si>
  <si>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</si>
  <si>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</si>
  <si>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</si>
  <si>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</si>
  <si>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</si>
  <si>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</si>
  <si>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</si>
  <si>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</si>
  <si>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</si>
  <si>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</si>
  <si>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</si>
  <si>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</si>
  <si>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</si>
  <si>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</si>
  <si>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</si>
  <si>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</si>
  <si>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</si>
  <si>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</si>
  <si>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</si>
  <si>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</si>
  <si>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</si>
  <si>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</si>
  <si>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</si>
  <si>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</si>
  <si>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</si>
  <si>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</si>
  <si>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</si>
  <si>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</si>
  <si>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</si>
  <si>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</si>
  <si>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</si>
  <si>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</si>
  <si>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</si>
  <si>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</si>
  <si>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</si>
  <si>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</si>
  <si>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</si>
  <si>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</si>
  <si>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</si>
  <si>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</si>
  <si>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</si>
  <si>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</si>
  <si>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</si>
  <si>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</si>
  <si>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</si>
  <si>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</si>
  <si>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</si>
  <si>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</si>
  <si>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</si>
  <si>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</si>
  <si>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</si>
  <si>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</si>
  <si>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</si>
  <si>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</si>
  <si>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</si>
  <si>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</si>
  <si>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</si>
  <si>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</si>
  <si>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</si>
  <si>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</si>
  <si>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</si>
  <si>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</si>
  <si>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</si>
  <si>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</si>
  <si>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</si>
  <si>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</si>
  <si>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</si>
  <si>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</si>
  <si>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</si>
  <si>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</si>
  <si>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</si>
  <si>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</si>
  <si>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</si>
  <si>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</si>
  <si>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</si>
  <si>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</si>
  <si>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</si>
  <si>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</si>
  <si>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</si>
  <si>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</si>
  <si>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</si>
  <si>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</si>
  <si>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</si>
  <si>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</si>
  <si>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</si>
  <si>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</si>
  <si>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</si>
  <si>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</si>
  <si>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</si>
  <si>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</si>
  <si>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</si>
  <si>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</si>
  <si>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</si>
  <si>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</si>
  <si>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</si>
  <si>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</si>
  <si>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</si>
  <si>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</si>
  <si>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</si>
  <si>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</si>
  <si>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</si>
  <si>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</si>
  <si>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</si>
  <si>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</si>
  <si>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</si>
  <si>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</si>
  <si>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</si>
  <si>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</si>
  <si>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</si>
  <si>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</si>
  <si>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</si>
  <si>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</si>
  <si>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</si>
  <si>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</si>
  <si>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</si>
  <si>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</si>
  <si>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</si>
  <si>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</si>
  <si>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</si>
  <si>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</si>
  <si>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</si>
  <si>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</si>
  <si>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</si>
  <si>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</si>
  <si>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</si>
  <si>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</si>
  <si>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</si>
  <si>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</si>
  <si>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</si>
  <si>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</si>
  <si>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</si>
  <si>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</si>
  <si>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</si>
  <si>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</si>
  <si>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</si>
  <si>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</si>
  <si>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</si>
  <si>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</si>
  <si>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</si>
  <si>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</si>
  <si>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</si>
  <si>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</si>
  <si>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</si>
  <si>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</si>
  <si>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</si>
  <si>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</si>
  <si>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</si>
  <si>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</si>
  <si>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</si>
  <si>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</si>
  <si>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</si>
  <si>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</si>
  <si>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</si>
  <si>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</si>
  <si>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</si>
  <si>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</si>
  <si>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</si>
  <si>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</si>
  <si>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</si>
  <si>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</si>
  <si>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</si>
  <si>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</si>
  <si>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</si>
  <si>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</si>
  <si>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</si>
  <si>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</si>
  <si>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</si>
  <si>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</si>
  <si>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</si>
  <si>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</si>
  <si>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</si>
  <si>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</si>
  <si>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</si>
  <si>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</si>
  <si>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</si>
  <si>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</si>
  <si>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</si>
  <si>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</si>
  <si>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</si>
  <si>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</si>
  <si>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</si>
  <si>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</si>
  <si>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</si>
  <si>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</si>
  <si>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</si>
  <si>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</si>
  <si>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</si>
  <si>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</si>
  <si>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</si>
  <si>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</si>
  <si>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</si>
  <si>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</si>
  <si>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</si>
  <si>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</si>
  <si>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</si>
  <si>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</si>
  <si>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</si>
  <si>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</si>
  <si>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</si>
  <si>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</si>
  <si>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</si>
  <si>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</si>
  <si>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</si>
  <si>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</si>
  <si>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</si>
  <si>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</si>
  <si>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</si>
  <si>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</si>
  <si>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</si>
  <si>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</si>
  <si>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</si>
  <si>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</si>
  <si>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</si>
  <si>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</si>
  <si>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</si>
  <si>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</si>
  <si>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</si>
  <si>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</si>
  <si>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</si>
  <si>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</si>
  <si>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</si>
  <si>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</si>
  <si>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</si>
  <si>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</si>
  <si>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</si>
  <si>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</si>
  <si>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</si>
  <si>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</si>
  <si>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</si>
  <si>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</si>
  <si>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</si>
  <si>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</si>
  <si>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</si>
  <si>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</si>
  <si>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</si>
  <si>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</si>
  <si>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</si>
  <si>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</si>
  <si>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</si>
  <si>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</si>
  <si>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</si>
  <si>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</si>
  <si>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</si>
  <si>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</si>
  <si>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</si>
  <si>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</si>
  <si>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</si>
  <si>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</si>
  <si>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</si>
  <si>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</si>
  <si>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</si>
  <si>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</si>
  <si>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</si>
  <si>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</si>
  <si>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</si>
  <si>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</si>
  <si>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</si>
  <si>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</si>
  <si>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</si>
  <si>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</si>
  <si>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</si>
  <si>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</si>
  <si>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</si>
  <si>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</si>
  <si>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</si>
  <si>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</si>
  <si>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</si>
  <si>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</si>
  <si>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</si>
  <si>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</si>
  <si>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</si>
  <si>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</si>
  <si>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</si>
  <si>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</si>
  <si>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</si>
  <si>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</si>
  <si>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</si>
  <si>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</si>
  <si>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</si>
  <si>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</si>
  <si>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</si>
  <si>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</si>
  <si>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</si>
  <si>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</si>
  <si>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</si>
  <si>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</si>
  <si>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</si>
  <si>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</si>
  <si>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</si>
  <si>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</si>
  <si>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</si>
  <si>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</si>
  <si>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</si>
  <si>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</si>
  <si>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</si>
  <si>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</si>
  <si>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</si>
  <si>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</si>
  <si>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</si>
  <si>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</si>
  <si>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</si>
  <si>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</si>
  <si>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</si>
  <si>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</si>
  <si>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</si>
  <si>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</si>
  <si>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</si>
  <si>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</si>
  <si>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</si>
  <si>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</si>
  <si>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</si>
  <si>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</si>
  <si>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</si>
  <si>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</si>
  <si>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</si>
  <si>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</si>
  <si>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</si>
  <si>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</si>
  <si>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</si>
  <si>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</si>
  <si>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</si>
  <si>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</si>
  <si>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</si>
  <si>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</si>
  <si>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</si>
  <si>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</si>
  <si>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</si>
  <si>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</si>
  <si>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</si>
  <si>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</si>
  <si>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</si>
  <si>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</si>
  <si>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</si>
  <si>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</si>
  <si>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</si>
  <si>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</si>
  <si>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</si>
  <si>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</si>
  <si>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</si>
  <si>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</si>
  <si>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</si>
  <si>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</si>
  <si>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</si>
  <si>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</si>
  <si>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</si>
  <si>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</si>
  <si>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</si>
  <si>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</si>
  <si>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</si>
  <si>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</si>
  <si>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</si>
  <si>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</si>
  <si>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</si>
  <si>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</si>
  <si>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</si>
  <si>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</si>
  <si>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</si>
  <si>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</si>
  <si>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</si>
  <si>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</si>
  <si>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</si>
  <si>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</si>
  <si>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</si>
  <si>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</si>
  <si>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</si>
  <si>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</si>
  <si>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</si>
  <si>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</si>
  <si>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</si>
  <si>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</si>
  <si>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</si>
  <si>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</si>
  <si>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</si>
  <si>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</si>
  <si>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</si>
  <si>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</si>
  <si>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</si>
  <si>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</si>
  <si>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</si>
  <si>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</si>
  <si>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</si>
  <si>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</si>
  <si>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</si>
  <si>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</si>
  <si>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</si>
  <si>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</si>
  <si>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</si>
  <si>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</si>
  <si>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</si>
  <si>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</si>
  <si>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</si>
  <si>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</si>
  <si>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</si>
  <si>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</si>
  <si>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</si>
  <si>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</si>
  <si>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</si>
  <si>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</si>
  <si>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</si>
  <si>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</si>
  <si>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</si>
  <si>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</si>
  <si>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</si>
  <si>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</si>
  <si>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</si>
  <si>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</si>
  <si>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</si>
  <si>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</si>
  <si>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</si>
  <si>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</si>
  <si>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</si>
  <si>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</si>
  <si>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</si>
  <si>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</si>
  <si>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</si>
  <si>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</si>
  <si>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</si>
  <si>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</si>
  <si>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</si>
  <si>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</si>
  <si>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</si>
  <si>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</si>
  <si>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</si>
  <si>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</si>
  <si>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</si>
  <si>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</si>
  <si>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</si>
  <si>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</si>
  <si>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</si>
  <si>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</si>
  <si>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</si>
  <si>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</si>
  <si>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</si>
  <si>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</si>
  <si>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</si>
  <si>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</si>
  <si>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</si>
  <si>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</si>
  <si>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</si>
  <si>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</si>
  <si>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</si>
  <si>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</si>
  <si>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</si>
  <si>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</si>
  <si>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</si>
  <si>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</si>
  <si>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</si>
  <si>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</si>
  <si>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</si>
  <si>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</si>
  <si>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</si>
  <si>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</si>
  <si>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</si>
  <si>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</si>
  <si>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</si>
  <si>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</si>
  <si>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</si>
  <si>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</si>
  <si>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</si>
  <si>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</si>
  <si>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</si>
  <si>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</si>
  <si>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</si>
  <si>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</si>
  <si>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</si>
  <si>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</si>
  <si>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</si>
  <si>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</si>
  <si>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</si>
  <si>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</si>
  <si>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</si>
  <si>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</si>
  <si>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</si>
  <si>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</si>
  <si>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</si>
  <si>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</si>
  <si>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</si>
  <si>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</si>
  <si>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</si>
  <si>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</si>
  <si>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</si>
  <si>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</si>
  <si>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</si>
  <si>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</si>
  <si>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</si>
  <si>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</si>
  <si>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</si>
  <si>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</si>
  <si>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</si>
  <si>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</si>
  <si>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</si>
  <si>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</si>
  <si>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</si>
  <si>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</si>
  <si>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</si>
  <si>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</si>
  <si>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</si>
  <si>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</si>
  <si>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</si>
  <si>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</si>
  <si>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</si>
  <si>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</si>
  <si>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</si>
  <si>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</si>
  <si>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</si>
  <si>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</si>
  <si>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</si>
  <si>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</si>
  <si>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</si>
  <si>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</si>
  <si>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</si>
  <si>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</si>
  <si>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</si>
  <si>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</si>
  <si>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</si>
  <si>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</si>
  <si>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</si>
  <si>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</si>
  <si>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</si>
  <si>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</si>
  <si>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</si>
  <si>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</si>
  <si>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</si>
  <si>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</si>
  <si>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</si>
  <si>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</si>
  <si>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</si>
  <si>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</si>
  <si>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</si>
  <si>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</si>
  <si>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</si>
  <si>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</si>
  <si>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</si>
  <si>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</si>
  <si>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</si>
  <si>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</si>
  <si>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</si>
  <si>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</si>
  <si>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</si>
  <si>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</si>
  <si>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</si>
  <si>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</si>
  <si>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</si>
  <si>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</si>
  <si>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</si>
  <si>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</si>
  <si>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</si>
  <si>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</si>
  <si>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</si>
  <si>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</si>
  <si>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</si>
  <si>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</si>
  <si>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</si>
  <si>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</si>
  <si>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</si>
  <si>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</si>
  <si>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</si>
  <si>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</si>
  <si>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</si>
  <si>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</si>
  <si>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</si>
  <si>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</si>
  <si>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</si>
  <si>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</si>
  <si>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</si>
  <si>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</si>
  <si>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</si>
  <si>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</si>
  <si>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</si>
  <si>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</si>
  <si>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</si>
  <si>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</si>
  <si>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</si>
  <si>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</si>
  <si>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</si>
  <si>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</si>
  <si>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</si>
  <si>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</si>
  <si>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</si>
  <si>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</si>
  <si>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</si>
  <si>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</si>
  <si>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</si>
  <si>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</si>
  <si>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</si>
  <si>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</si>
  <si>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</si>
  <si>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</si>
  <si>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</si>
  <si>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</si>
  <si>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</si>
  <si>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</si>
  <si>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</si>
  <si>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</si>
  <si>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</si>
  <si>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</si>
  <si>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</si>
  <si>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</si>
  <si>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</si>
  <si>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</si>
  <si>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</si>
  <si>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</si>
  <si>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</si>
  <si>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</si>
  <si>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</si>
  <si>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</si>
  <si>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</si>
  <si>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</si>
  <si>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</si>
  <si>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</si>
  <si>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</si>
  <si>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</si>
  <si>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</si>
  <si>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</si>
  <si>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</si>
  <si>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</si>
  <si>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</si>
  <si>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</si>
  <si>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</si>
  <si>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</si>
  <si>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</si>
  <si>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</si>
  <si>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</si>
  <si>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</si>
  <si>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</si>
  <si>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</si>
  <si>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</si>
  <si>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</si>
  <si>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</si>
  <si>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</si>
  <si>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</si>
  <si>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</si>
  <si>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</si>
  <si>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</si>
  <si>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</si>
  <si>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</si>
  <si>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</si>
  <si>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</si>
  <si>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</si>
  <si>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</si>
  <si>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</si>
  <si>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</si>
  <si>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</si>
  <si>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</si>
  <si>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</si>
  <si>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</si>
  <si>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</si>
  <si>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</si>
  <si>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</si>
  <si>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</si>
  <si>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</si>
  <si>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</si>
  <si>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</si>
  <si>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</si>
  <si>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</si>
  <si>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</si>
  <si>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</si>
  <si>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</si>
  <si>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</si>
  <si>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</si>
  <si>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</si>
  <si>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</si>
  <si>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</si>
  <si>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</si>
  <si>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</si>
  <si>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</si>
  <si>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</si>
  <si>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</si>
  <si>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</si>
  <si>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</si>
  <si>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</si>
  <si>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</si>
  <si>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</si>
  <si>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</si>
  <si>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</si>
  <si>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</si>
  <si>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</si>
  <si>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</si>
  <si>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</si>
  <si>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</si>
  <si>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</si>
  <si>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</si>
  <si>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</si>
  <si>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</si>
  <si>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</si>
  <si>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</si>
  <si>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</si>
  <si>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</si>
  <si>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</si>
  <si>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</si>
  <si>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</si>
  <si>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</si>
  <si>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</si>
  <si>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</si>
  <si>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</si>
  <si>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</si>
  <si>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</si>
  <si>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</si>
  <si>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</si>
  <si>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</si>
  <si>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</si>
  <si>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</si>
  <si>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</si>
  <si>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</si>
  <si>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</si>
  <si>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</si>
  <si>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</si>
  <si>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</si>
  <si>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</si>
  <si>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</si>
  <si>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</si>
  <si>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</si>
  <si>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</si>
  <si>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</si>
  <si>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</si>
  <si>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</si>
  <si>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</si>
  <si>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</si>
  <si>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</si>
  <si>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</si>
  <si>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</si>
  <si>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</si>
  <si>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</si>
  <si>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</si>
  <si>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</si>
  <si>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</si>
  <si>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</si>
  <si>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</si>
  <si>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</si>
  <si>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</si>
  <si>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</si>
  <si>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</si>
  <si>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</si>
  <si>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</si>
  <si>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</si>
  <si>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</si>
  <si>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</si>
  <si>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</si>
  <si>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</si>
  <si>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</si>
  <si>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</si>
  <si>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</si>
  <si>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</si>
  <si>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</si>
  <si>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</si>
  <si>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</si>
  <si>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</si>
  <si>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</si>
  <si>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</si>
  <si>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</si>
  <si>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</si>
  <si>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</si>
  <si>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</si>
  <si>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</si>
  <si>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</si>
  <si>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</si>
  <si>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</si>
  <si>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</si>
  <si>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</si>
  <si>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</si>
  <si>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</si>
  <si>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</si>
  <si>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</si>
  <si>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</si>
  <si>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</si>
  <si>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</si>
  <si>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</si>
  <si>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</si>
  <si>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</si>
  <si>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</si>
  <si>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</si>
  <si>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</si>
  <si>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</si>
  <si>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</si>
  <si>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</si>
  <si>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</si>
  <si>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</si>
  <si>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</si>
  <si>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</si>
  <si>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</si>
  <si>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</si>
  <si>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</si>
  <si>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</si>
  <si>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</si>
  <si>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</si>
  <si>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</si>
  <si>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</si>
  <si>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</si>
  <si>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</si>
  <si>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</si>
  <si>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</si>
  <si>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</si>
  <si>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</si>
  <si>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</si>
  <si>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</si>
  <si>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</si>
  <si>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</si>
  <si>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</si>
  <si>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</si>
  <si>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</si>
  <si>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</si>
  <si>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</si>
  <si>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</si>
  <si>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</si>
  <si>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</si>
  <si>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</si>
  <si>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</si>
  <si>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</si>
  <si>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</si>
  <si>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</si>
  <si>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</si>
  <si>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</si>
  <si>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</si>
  <si>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</si>
  <si>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</si>
  <si>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</si>
  <si>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</si>
  <si>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</si>
  <si>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</si>
  <si>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</si>
  <si>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</si>
  <si>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</si>
  <si>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</si>
  <si>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</si>
  <si>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</si>
  <si>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</si>
  <si>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</si>
  <si>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</si>
  <si>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</si>
  <si>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</si>
  <si>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</si>
  <si>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</si>
  <si>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</si>
  <si>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</si>
  <si>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</si>
  <si>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</si>
  <si>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</si>
  <si>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</si>
  <si>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</si>
  <si>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</si>
  <si>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</si>
  <si>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</si>
  <si>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</si>
  <si>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</si>
  <si>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</si>
  <si>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</si>
  <si>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</si>
  <si>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</si>
  <si>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</si>
  <si>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</si>
  <si>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</si>
  <si>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</si>
  <si>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</si>
  <si>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</si>
  <si>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</si>
  <si>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</si>
  <si>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</si>
  <si>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</si>
  <si>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</si>
  <si>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</si>
  <si>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</si>
  <si>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</si>
  <si>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</si>
  <si>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</si>
  <si>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</si>
  <si>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</si>
  <si>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</si>
  <si>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</si>
  <si>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</si>
  <si>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</si>
  <si>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</si>
  <si>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</si>
  <si>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</si>
  <si>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</si>
  <si>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</si>
  <si>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</si>
  <si>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</si>
  <si>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</si>
  <si>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</si>
  <si>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</si>
  <si>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</si>
  <si>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</si>
  <si>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</si>
  <si>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</si>
  <si>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</si>
  <si>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</si>
  <si>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</si>
  <si>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</si>
  <si>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</si>
  <si>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</si>
  <si>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</si>
  <si>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</si>
  <si>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</si>
  <si>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</si>
  <si>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</si>
  <si>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</si>
  <si>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</si>
  <si>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</si>
  <si>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</si>
  <si>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</si>
  <si>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</si>
  <si>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</si>
  <si>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</si>
  <si>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</si>
  <si>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</si>
  <si>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</si>
  <si>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</si>
  <si>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</si>
  <si>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</si>
  <si>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</si>
  <si>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</si>
  <si>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</si>
  <si>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</si>
  <si>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</si>
  <si>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</si>
  <si>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</si>
  <si>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</si>
  <si>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</si>
  <si>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</si>
  <si>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</si>
  <si>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</si>
  <si>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</si>
  <si>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</si>
  <si>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</si>
  <si>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</si>
  <si>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</si>
  <si>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</si>
  <si>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</si>
  <si>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</si>
  <si>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</si>
  <si>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</si>
  <si>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</si>
  <si>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</si>
  <si>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</si>
  <si>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</si>
  <si>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</si>
  <si>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</si>
  <si>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</si>
  <si>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</si>
  <si>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</si>
  <si>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</si>
  <si>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</si>
  <si>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</si>
  <si>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</si>
  <si>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</si>
  <si>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</si>
  <si>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</si>
  <si>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</si>
  <si>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</si>
  <si>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</si>
  <si>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</si>
  <si>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</si>
  <si>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</si>
  <si>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</si>
  <si>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</si>
  <si>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</si>
  <si>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</si>
  <si>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</si>
  <si>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</si>
  <si>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</si>
  <si>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</si>
  <si>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</si>
  <si>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</si>
  <si>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</si>
  <si>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</si>
  <si>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</si>
  <si>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</si>
  <si>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</si>
  <si>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</si>
  <si>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</si>
  <si>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</si>
  <si>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</si>
  <si>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</si>
  <si>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</si>
  <si>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</si>
  <si>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</si>
  <si>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</si>
  <si>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</si>
  <si>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</si>
  <si>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</si>
  <si>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</si>
  <si>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</si>
  <si>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</si>
  <si>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</si>
  <si>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</si>
  <si>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</si>
  <si>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</si>
  <si>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</si>
  <si>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</si>
  <si>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</si>
  <si>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</si>
  <si>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</si>
  <si>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</si>
  <si>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</si>
  <si>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</si>
  <si>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</si>
  <si>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</si>
  <si>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</si>
  <si>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</si>
  <si>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</si>
  <si>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</si>
  <si>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</si>
  <si>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</si>
  <si>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</si>
  <si>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</si>
  <si>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</si>
  <si>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</si>
  <si>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</si>
  <si>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</si>
  <si>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</si>
  <si>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</si>
  <si>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</si>
  <si>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</si>
  <si>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</si>
  <si>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</si>
  <si>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</si>
  <si>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</si>
  <si>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</si>
  <si>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</si>
  <si>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</si>
  <si>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</si>
  <si>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</si>
  <si>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</si>
  <si>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</si>
  <si>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</si>
  <si>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</si>
  <si>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</si>
  <si>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</si>
  <si>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</si>
  <si>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</si>
  <si>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</si>
  <si>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</si>
  <si>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</si>
  <si>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</si>
  <si>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</si>
  <si>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</si>
  <si>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</si>
  <si>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</si>
  <si>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</si>
  <si>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</si>
  <si>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</si>
  <si>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</si>
  <si>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</si>
  <si>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</si>
  <si>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</si>
  <si>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</si>
  <si>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</si>
  <si>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</si>
  <si>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</si>
  <si>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</si>
  <si>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</si>
  <si>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</si>
  <si>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</si>
  <si>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</si>
  <si>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</si>
  <si>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</si>
  <si>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</si>
  <si>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</si>
  <si>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</si>
  <si>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</si>
  <si>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</si>
  <si>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</si>
  <si>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</si>
  <si>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</si>
  <si>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</si>
  <si>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</si>
  <si>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</si>
  <si>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</si>
  <si>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</si>
  <si>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</si>
  <si>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</si>
  <si>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</si>
  <si>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</si>
  <si>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</si>
  <si>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</si>
  <si>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</si>
  <si>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</si>
  <si>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</si>
  <si>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</si>
  <si>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</si>
  <si>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</si>
  <si>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</si>
  <si>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</si>
  <si>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</si>
  <si>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</si>
  <si>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</si>
  <si>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</si>
  <si>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</si>
  <si>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</si>
  <si>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</si>
  <si>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</si>
  <si>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</si>
  <si>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</si>
  <si>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</si>
  <si>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</si>
  <si>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</si>
  <si>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</si>
  <si>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</si>
  <si>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</si>
  <si>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</si>
  <si>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</si>
  <si>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</si>
  <si>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</si>
  <si>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</si>
  <si>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</si>
  <si>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</si>
  <si>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</si>
  <si>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</si>
  <si>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</si>
  <si>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</si>
  <si>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</si>
  <si>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</si>
  <si>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</si>
  <si>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</si>
  <si>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</si>
  <si>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</si>
  <si>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</si>
  <si>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</si>
  <si>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</si>
  <si>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</si>
  <si>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</si>
  <si>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</si>
  <si>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</si>
  <si>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</si>
  <si>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</si>
  <si>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</si>
  <si>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</si>
  <si>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</si>
  <si>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</si>
  <si>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</si>
  <si>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</si>
  <si>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</si>
  <si>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</si>
  <si>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</si>
  <si>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</si>
  <si>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</si>
  <si>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</si>
  <si>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</si>
  <si>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</si>
  <si>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</si>
  <si>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</si>
  <si>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</si>
  <si>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</si>
  <si>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</si>
  <si>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</si>
  <si>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</si>
  <si>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</si>
  <si>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</si>
  <si>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</si>
  <si>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</si>
  <si>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</si>
  <si>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</si>
  <si>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</si>
  <si>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</si>
  <si>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</si>
  <si>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</si>
  <si>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</si>
  <si>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</si>
  <si>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</si>
  <si>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</si>
  <si>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</si>
  <si>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</si>
  <si>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</si>
  <si>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</si>
  <si>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</si>
  <si>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</si>
  <si>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</si>
  <si>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</si>
  <si>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</si>
  <si>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</si>
  <si>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</si>
  <si>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</si>
  <si>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</si>
  <si>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</si>
  <si>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</si>
  <si>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</si>
  <si>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</si>
  <si>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</si>
  <si>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</si>
  <si>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</si>
  <si>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</si>
  <si>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</si>
  <si>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</si>
  <si>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</si>
  <si>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</si>
  <si>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</si>
  <si>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</si>
  <si>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</si>
  <si>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</si>
  <si>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</si>
  <si>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</si>
  <si>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</si>
  <si>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</si>
  <si>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</si>
  <si>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</si>
  <si>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</si>
  <si>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</si>
  <si>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</si>
  <si>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</si>
  <si>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</si>
  <si>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</si>
  <si>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</si>
  <si>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</si>
  <si>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</si>
  <si>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</si>
  <si>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</si>
  <si>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</si>
  <si>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</si>
  <si>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</si>
  <si>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</si>
  <si>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</si>
  <si>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</si>
  <si>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</si>
  <si>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</si>
  <si>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</si>
  <si>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</si>
  <si>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</si>
  <si>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</si>
  <si>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</si>
  <si>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</si>
  <si>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</si>
  <si>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</si>
  <si>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</si>
  <si>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</si>
  <si>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</si>
  <si>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</si>
  <si>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</si>
  <si>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</si>
  <si>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</si>
  <si>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</si>
  <si>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</si>
  <si>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</si>
  <si>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</si>
  <si>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</si>
  <si>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</si>
  <si>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</si>
  <si>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</si>
  <si>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</si>
  <si>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</si>
  <si>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</si>
  <si>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</si>
  <si>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</si>
  <si>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</si>
  <si>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</si>
  <si>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</si>
  <si>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</si>
  <si>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</si>
  <si>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</si>
  <si>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</si>
  <si>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</si>
  <si>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</si>
  <si>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</si>
  <si>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</si>
  <si>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</si>
  <si>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</si>
  <si>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</si>
  <si>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</si>
  <si>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</si>
  <si>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</si>
  <si>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</si>
  <si>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</si>
  <si>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</si>
  <si>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</si>
  <si>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</si>
  <si>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</si>
  <si>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</si>
  <si>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</si>
  <si>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</si>
  <si>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</si>
  <si>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</si>
  <si>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</si>
  <si>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</si>
  <si>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</si>
  <si>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</si>
  <si>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</si>
  <si>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</si>
  <si>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</si>
  <si>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</si>
  <si>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</si>
  <si>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</si>
  <si>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</si>
  <si>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</si>
  <si>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</si>
  <si>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</si>
  <si>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</si>
  <si>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</si>
  <si>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</si>
  <si>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</si>
  <si>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</si>
  <si>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</si>
  <si>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</si>
  <si>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</si>
  <si>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</si>
  <si>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</si>
  <si>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</si>
  <si>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</si>
  <si>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</si>
  <si>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</si>
  <si>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</si>
  <si>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</si>
  <si>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</si>
  <si>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</si>
  <si>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</si>
  <si>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</si>
  <si>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</si>
  <si>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</si>
  <si>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</si>
  <si>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</si>
  <si>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</si>
  <si>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</si>
  <si>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</si>
  <si>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</si>
  <si>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</si>
  <si>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</si>
  <si>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</si>
  <si>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</si>
  <si>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</si>
  <si>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</si>
  <si>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</si>
  <si>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</si>
  <si>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</si>
  <si>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</si>
  <si>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</si>
  <si>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</si>
  <si>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</si>
  <si>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</si>
  <si>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</si>
  <si>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</si>
  <si>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</si>
  <si>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</si>
  <si>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</si>
  <si>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</si>
  <si>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</si>
  <si>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</si>
  <si>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</si>
  <si>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</si>
  <si>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</si>
  <si>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</si>
  <si>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</si>
  <si>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</si>
  <si>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</si>
  <si>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</si>
  <si>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</si>
  <si>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</si>
  <si>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</si>
  <si>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</si>
  <si>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</si>
  <si>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</si>
  <si>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</si>
  <si>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</si>
  <si>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</si>
  <si>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</si>
  <si>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</si>
  <si>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</si>
  <si>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</si>
  <si>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</si>
  <si>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</si>
  <si>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</si>
  <si>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</si>
  <si>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</si>
  <si>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</si>
  <si>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</si>
  <si>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</si>
  <si>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</si>
  <si>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</si>
  <si>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</si>
  <si>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</si>
  <si>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</si>
  <si>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</si>
  <si>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</si>
  <si>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</si>
  <si>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</si>
  <si>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</si>
  <si>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</si>
  <si>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</si>
  <si>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</si>
  <si>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</si>
  <si>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</si>
  <si>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</si>
  <si>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</si>
  <si>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</si>
  <si>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</si>
  <si>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</si>
  <si>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</si>
  <si>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</si>
  <si>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</si>
  <si>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</si>
  <si>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</si>
  <si>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</si>
  <si>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</si>
  <si>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</si>
  <si>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</si>
  <si>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</si>
  <si>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</si>
  <si>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</si>
  <si>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</si>
  <si>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</si>
  <si>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</si>
  <si>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</si>
  <si>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</si>
  <si>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</si>
  <si>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</si>
  <si>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</si>
  <si>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</si>
  <si>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</si>
  <si>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</si>
  <si>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</si>
  <si>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</si>
  <si>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</si>
  <si>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</si>
  <si>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</si>
  <si>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</si>
  <si>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</si>
  <si>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</si>
  <si>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</si>
  <si>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</si>
  <si>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</si>
  <si>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</si>
  <si>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</si>
  <si>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</si>
  <si>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</si>
  <si>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</si>
  <si>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</si>
  <si>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</si>
  <si>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</si>
  <si>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</si>
  <si>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</si>
  <si>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</si>
  <si>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</si>
  <si>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</si>
  <si>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</si>
  <si>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</si>
  <si>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</si>
  <si>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</si>
  <si>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</si>
  <si>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</si>
  <si>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</si>
  <si>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</si>
  <si>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</si>
  <si>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</si>
  <si>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</si>
  <si>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</si>
  <si>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</si>
  <si>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</si>
  <si>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</si>
  <si>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</si>
  <si>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</si>
  <si>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</si>
  <si>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</si>
  <si>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</si>
  <si>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</si>
  <si>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</si>
  <si>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</si>
  <si>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</si>
  <si>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</si>
  <si>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</si>
  <si>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</si>
  <si>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</si>
  <si>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</si>
  <si>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</si>
  <si>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</si>
  <si>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</si>
  <si>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</si>
  <si>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</si>
  <si>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</si>
  <si>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</si>
  <si>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</si>
  <si>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</si>
  <si>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</si>
  <si>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</si>
  <si>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</si>
  <si>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</si>
  <si>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</si>
  <si>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</si>
  <si>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</si>
  <si>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</si>
  <si>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</si>
  <si>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</si>
  <si>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</si>
  <si>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</si>
  <si>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</si>
  <si>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</si>
  <si>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</si>
  <si>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</si>
  <si>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</si>
  <si>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</si>
  <si>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</si>
  <si>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</si>
  <si>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</si>
  <si>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</si>
  <si>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</si>
  <si>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</si>
  <si>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</si>
  <si>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</si>
  <si>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</si>
  <si>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</si>
  <si>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</si>
  <si>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</si>
  <si>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</si>
  <si>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</si>
  <si>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</si>
  <si>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</si>
  <si>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</si>
  <si>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</si>
  <si>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</si>
  <si>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</si>
  <si>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</si>
  <si>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</si>
  <si>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</si>
  <si>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</si>
  <si>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</si>
  <si>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</si>
  <si>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</si>
  <si>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</si>
  <si>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</si>
  <si>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</si>
  <si>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</si>
  <si>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</si>
  <si>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</si>
  <si>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</si>
  <si>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</si>
  <si>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</si>
  <si>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</si>
  <si>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</si>
  <si>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</si>
  <si>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</si>
  <si>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</si>
  <si>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</si>
  <si>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</si>
  <si>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</si>
  <si>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</si>
  <si>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</si>
  <si>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</si>
  <si>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</si>
  <si>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</si>
  <si>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</si>
  <si>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</si>
  <si>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</si>
  <si>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</si>
  <si>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</si>
  <si>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</si>
  <si>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</si>
  <si>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</si>
  <si>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</si>
  <si>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</si>
  <si>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</si>
  <si>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</si>
  <si>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</si>
  <si>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</si>
  <si>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</si>
  <si>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</si>
  <si>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</si>
  <si>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</si>
  <si>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</si>
  <si>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</si>
  <si>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</si>
  <si>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</si>
  <si>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</si>
  <si>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</si>
  <si>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</si>
  <si>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</si>
  <si>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</si>
  <si>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</si>
  <si>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</si>
  <si>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</si>
  <si>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</si>
  <si>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</si>
  <si>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</si>
  <si>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</si>
  <si>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</si>
  <si>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</si>
  <si>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</si>
  <si>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</si>
  <si>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</si>
  <si>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</si>
  <si>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</si>
  <si>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</si>
  <si>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</si>
  <si>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</si>
  <si>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</si>
  <si>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</si>
  <si>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</si>
  <si>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</si>
  <si>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</si>
  <si>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</si>
  <si>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</si>
  <si>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</si>
  <si>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</si>
  <si>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</si>
  <si>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</si>
  <si>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</si>
  <si>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</si>
  <si>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</si>
  <si>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</si>
  <si>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</si>
  <si>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</si>
  <si>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</si>
  <si>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</si>
  <si>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</si>
  <si>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</si>
  <si>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</si>
  <si>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</si>
  <si>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</si>
  <si>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</si>
  <si>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</si>
  <si>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</si>
  <si>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</si>
  <si>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</si>
  <si>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</si>
  <si>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</si>
  <si>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</si>
  <si>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</si>
  <si>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</si>
  <si>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</si>
  <si>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</si>
  <si>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</si>
  <si>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</si>
  <si>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</si>
  <si>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</si>
  <si>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</si>
  <si>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</si>
  <si>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</si>
  <si>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</si>
  <si>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</si>
  <si>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</si>
  <si>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</si>
  <si>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</si>
  <si>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</si>
  <si>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</si>
  <si>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</si>
  <si>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</si>
  <si>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</si>
  <si>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</si>
  <si>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</si>
  <si>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</si>
  <si>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</si>
  <si>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</si>
  <si>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</si>
  <si>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</si>
  <si>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</si>
  <si>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</si>
  <si>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</si>
  <si>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</si>
  <si>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</si>
  <si>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</si>
  <si>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</si>
  <si>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</si>
  <si>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</si>
  <si>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</si>
  <si>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</si>
  <si>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</si>
  <si>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</si>
  <si>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</si>
  <si>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</si>
  <si>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</si>
  <si>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</si>
  <si>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</si>
  <si>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</si>
  <si>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</si>
  <si>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</si>
  <si>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</si>
  <si>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</si>
  <si>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</si>
  <si>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</si>
  <si>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</si>
  <si>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</si>
  <si>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</si>
  <si>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</si>
  <si>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</si>
  <si>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</si>
  <si>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</si>
  <si>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</si>
  <si>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</si>
  <si>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</si>
  <si>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</si>
  <si>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</si>
  <si>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</si>
  <si>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</si>
  <si>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</si>
  <si>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</si>
  <si>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</si>
  <si>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</si>
  <si>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</si>
  <si>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</si>
  <si>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</si>
  <si>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</si>
  <si>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</si>
  <si>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</si>
  <si>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</si>
  <si>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</si>
  <si>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</si>
  <si>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</si>
  <si>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</si>
  <si>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</si>
  <si>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</si>
  <si>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</si>
  <si>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</si>
  <si>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</si>
  <si>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</si>
  <si>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</si>
  <si>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</si>
  <si>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</si>
  <si>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</si>
  <si>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</si>
  <si>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</si>
  <si>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</si>
  <si>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</si>
  <si>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</si>
  <si>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</si>
  <si>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</si>
  <si>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</si>
  <si>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</si>
  <si>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</si>
  <si>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</si>
  <si>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</si>
  <si>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</si>
  <si>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</si>
  <si>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</si>
  <si>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</si>
  <si>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</si>
  <si>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</si>
  <si>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</si>
  <si>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</si>
  <si>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</si>
  <si>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</si>
  <si>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</si>
  <si>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</si>
  <si>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</si>
  <si>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</si>
  <si>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</si>
  <si>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</si>
  <si>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</si>
  <si>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</si>
  <si>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</si>
  <si>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</si>
  <si>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</si>
  <si>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</si>
  <si>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</si>
  <si>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</si>
  <si>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</si>
  <si>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</si>
  <si>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</si>
  <si>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</si>
  <si>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</si>
  <si>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</si>
  <si>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</si>
  <si>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</si>
  <si>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</si>
  <si>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</si>
  <si>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</si>
  <si>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</si>
  <si>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</si>
  <si>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</si>
  <si>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</si>
  <si>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</si>
  <si>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</si>
  <si>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</si>
  <si>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</si>
  <si>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</si>
  <si>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</si>
  <si>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</si>
  <si>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</si>
  <si>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</si>
  <si>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</si>
  <si>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</si>
  <si>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</si>
  <si>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</si>
  <si>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</si>
  <si>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</si>
  <si>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</si>
  <si>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</si>
  <si>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</si>
  <si>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</si>
  <si>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</si>
  <si>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</si>
  <si>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</si>
  <si>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</si>
  <si>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</si>
  <si>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</si>
  <si>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</si>
  <si>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</si>
  <si>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</si>
  <si>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</si>
  <si>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</si>
  <si>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</si>
  <si>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</si>
  <si>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</si>
  <si>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</si>
  <si>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</si>
  <si>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</si>
  <si>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</si>
  <si>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</si>
  <si>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</si>
  <si>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</si>
  <si>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</si>
  <si>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</si>
  <si>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</si>
  <si>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</si>
  <si>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</si>
  <si>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</si>
  <si>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</si>
  <si>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</si>
  <si>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</si>
  <si>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</si>
  <si>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</si>
  <si>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</si>
  <si>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</si>
  <si>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</si>
  <si>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</si>
  <si>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</si>
  <si>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</si>
  <si>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</si>
  <si>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</si>
  <si>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</si>
  <si>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</si>
  <si>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</si>
  <si>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</si>
  <si>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</si>
  <si>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</si>
  <si>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</si>
  <si>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</si>
  <si>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</si>
  <si>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</si>
  <si>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</si>
  <si>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</si>
  <si>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</si>
  <si>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</si>
  <si>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</si>
  <si>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</si>
  <si>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</si>
  <si>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</si>
  <si>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</si>
  <si>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</si>
  <si>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</si>
  <si>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</si>
  <si>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</si>
  <si>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</si>
  <si>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</si>
  <si>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</si>
  <si>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</si>
  <si>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</si>
  <si>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</si>
  <si>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</si>
  <si>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</si>
  <si>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</si>
  <si>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</si>
  <si>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</si>
  <si>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</si>
  <si>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</si>
  <si>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</si>
  <si>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</si>
  <si>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</si>
  <si>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</si>
  <si>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</si>
  <si>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</si>
  <si>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</si>
  <si>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</si>
  <si>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</si>
  <si>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</si>
  <si>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</si>
  <si>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</si>
  <si>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</si>
  <si>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</si>
  <si>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</si>
  <si>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</si>
  <si>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</si>
  <si>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</si>
  <si>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</si>
  <si>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</si>
  <si>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</si>
  <si>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</si>
  <si>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</si>
  <si>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</si>
  <si>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</si>
  <si>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</si>
  <si>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</si>
  <si>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</si>
  <si>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</si>
  <si>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</si>
  <si>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</si>
  <si>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</si>
  <si>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</si>
  <si>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</si>
  <si>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</si>
  <si>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</si>
  <si>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</si>
  <si>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</si>
  <si>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</si>
  <si>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</si>
  <si>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</si>
  <si>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</si>
  <si>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</si>
  <si>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</si>
  <si>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</si>
  <si>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</si>
  <si>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</si>
  <si>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</si>
  <si>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</si>
  <si>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</si>
  <si>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</si>
  <si>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</si>
  <si>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</si>
  <si>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</si>
  <si>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</si>
  <si>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</si>
  <si>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</si>
  <si>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</si>
  <si>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</si>
  <si>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</si>
  <si>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</si>
  <si>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</si>
  <si>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</si>
  <si>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</si>
  <si>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</si>
  <si>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</si>
  <si>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</si>
  <si>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</si>
  <si>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</si>
  <si>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</si>
  <si>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</si>
  <si>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</si>
  <si>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</si>
  <si>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</si>
  <si>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</si>
  <si>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</si>
  <si>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</si>
  <si>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</si>
  <si>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</si>
  <si>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</si>
  <si>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</si>
  <si>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</si>
  <si>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</si>
  <si>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</si>
  <si>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</si>
  <si>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</si>
  <si>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</si>
  <si>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</si>
  <si>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</si>
  <si>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</si>
  <si>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</si>
  <si>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</si>
  <si>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</si>
  <si>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</si>
  <si>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</si>
  <si>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</si>
  <si>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</si>
  <si>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</si>
  <si>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</si>
  <si>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</si>
  <si>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</si>
  <si>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</si>
  <si>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</si>
  <si>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</si>
  <si>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</si>
  <si>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</si>
  <si>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</si>
  <si>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</si>
  <si>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</si>
  <si>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</si>
  <si>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</si>
  <si>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</si>
  <si>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</si>
  <si>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</si>
  <si>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</si>
  <si>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</si>
  <si>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</si>
  <si>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</si>
  <si>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</si>
  <si>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</si>
  <si>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</si>
  <si>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</si>
  <si>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</si>
  <si>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</si>
  <si>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</si>
  <si>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</si>
  <si>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</si>
  <si>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</si>
  <si>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</si>
  <si>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</si>
  <si>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</si>
  <si>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</si>
  <si>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</si>
  <si>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</si>
  <si>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</si>
  <si>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</si>
  <si>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</si>
  <si>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</si>
  <si>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</si>
  <si>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</si>
  <si>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</si>
  <si>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</si>
  <si>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</si>
  <si>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</si>
  <si>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</si>
  <si>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</si>
  <si>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</si>
  <si>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</si>
  <si>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</si>
  <si>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</si>
  <si>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</si>
  <si>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</si>
  <si>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</si>
  <si>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</si>
  <si>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</si>
  <si>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</si>
  <si>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</si>
  <si>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</si>
  <si>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</si>
  <si>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</si>
  <si>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</si>
  <si>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</si>
  <si>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</si>
  <si>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</si>
  <si>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</si>
  <si>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</si>
  <si>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</si>
  <si>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</si>
  <si>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</si>
  <si>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</si>
  <si>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</si>
  <si>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</si>
  <si>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</si>
  <si>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</si>
  <si>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</si>
  <si>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</si>
  <si>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</si>
  <si>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</si>
  <si>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</si>
  <si>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</si>
  <si>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</si>
  <si>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</si>
  <si>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</si>
  <si>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</si>
  <si>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</si>
  <si>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</si>
  <si>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</si>
  <si>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</si>
  <si>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</si>
  <si>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</si>
  <si>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</si>
  <si>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</si>
  <si>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</si>
  <si>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</si>
  <si>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</si>
  <si>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</si>
  <si>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</si>
  <si>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</si>
  <si>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</si>
  <si>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</si>
  <si>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</si>
  <si>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</si>
  <si>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</si>
  <si>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</si>
  <si>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</si>
  <si>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</si>
  <si>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</si>
  <si>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</si>
  <si>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</si>
  <si>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</si>
  <si>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</si>
  <si>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</si>
  <si>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</si>
  <si>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</si>
  <si>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</si>
  <si>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</si>
  <si>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</si>
  <si>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</si>
  <si>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</si>
  <si>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</si>
  <si>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</si>
  <si>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</si>
  <si>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</si>
  <si>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</si>
  <si>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</si>
  <si>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</si>
  <si>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</si>
  <si>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</si>
  <si>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</si>
  <si>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</si>
  <si>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</si>
  <si>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</si>
  <si>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</si>
  <si>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</si>
  <si>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</si>
  <si>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</si>
  <si>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</si>
  <si>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</si>
  <si>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</si>
  <si>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</si>
  <si>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</si>
  <si>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</si>
  <si>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</si>
  <si>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</si>
  <si>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</si>
  <si>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</si>
  <si>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</si>
  <si>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</si>
  <si>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</si>
  <si>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</si>
  <si>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</si>
  <si>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</si>
  <si>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</si>
  <si>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</si>
  <si>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</si>
  <si>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</si>
  <si>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</si>
  <si>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</si>
  <si>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</si>
  <si>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</si>
  <si>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</si>
  <si>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</si>
  <si>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</si>
  <si>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</si>
  <si>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</si>
  <si>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</si>
  <si>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</si>
  <si>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</si>
  <si>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</si>
  <si>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</si>
  <si>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</si>
  <si>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</si>
  <si>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</si>
  <si>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</si>
  <si>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</si>
  <si>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</si>
  <si>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</si>
  <si>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</si>
  <si>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</si>
  <si>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</si>
  <si>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</si>
  <si>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</si>
  <si>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</si>
  <si>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</si>
  <si>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</si>
  <si>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</si>
  <si>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</si>
  <si>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</si>
  <si>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</si>
  <si>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</si>
  <si>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</si>
  <si>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</si>
  <si>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</si>
  <si>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</si>
  <si>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</si>
  <si>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</si>
  <si>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</si>
  <si>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</si>
  <si>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</si>
  <si>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</si>
  <si>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</si>
  <si>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</si>
  <si>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</si>
  <si>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</si>
  <si>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</si>
  <si>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</si>
  <si>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</si>
  <si>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</si>
  <si>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</si>
  <si>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</si>
  <si>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</si>
  <si>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</si>
  <si>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</si>
  <si>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</si>
  <si>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</si>
  <si>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</si>
  <si>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</si>
  <si>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</si>
  <si>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</si>
  <si>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</si>
  <si>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</si>
  <si>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</si>
  <si>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</si>
  <si>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</si>
  <si>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</si>
  <si>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</si>
  <si>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</si>
  <si>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</si>
  <si>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</si>
  <si>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</si>
  <si>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</si>
  <si>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</si>
  <si>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</si>
  <si>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</si>
  <si>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</si>
  <si>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</si>
  <si>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</si>
  <si>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</si>
  <si>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</si>
  <si>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</si>
  <si>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</si>
  <si>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</si>
  <si>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</si>
  <si>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</si>
  <si>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</si>
  <si>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</si>
  <si>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</si>
  <si>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</si>
  <si>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</si>
  <si>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</si>
  <si>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</si>
  <si>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</si>
  <si>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</si>
  <si>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</si>
  <si>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</si>
  <si>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</si>
  <si>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</si>
  <si>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</si>
  <si>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</si>
  <si>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</si>
  <si>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</si>
  <si>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</si>
  <si>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</si>
  <si>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</si>
  <si>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</si>
  <si>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</si>
  <si>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</si>
  <si>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</si>
  <si>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</si>
  <si>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</si>
  <si>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</si>
  <si>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</si>
  <si>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</si>
  <si>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</si>
  <si>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</si>
  <si>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</si>
  <si>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</si>
  <si>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</si>
  <si>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</si>
  <si>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</si>
  <si>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</si>
  <si>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</si>
  <si>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</si>
  <si>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</si>
  <si>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</si>
  <si>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</si>
  <si>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</si>
  <si>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</si>
  <si>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</si>
  <si>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</si>
  <si>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</si>
  <si>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</si>
  <si>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</si>
  <si>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</si>
  <si>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</si>
  <si>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</si>
  <si>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</si>
  <si>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</si>
  <si>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</si>
  <si>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</si>
  <si>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</si>
  <si>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</si>
  <si>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</si>
  <si>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</si>
  <si>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</si>
  <si>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</si>
  <si>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</si>
  <si>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</si>
  <si>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</si>
  <si>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</si>
  <si>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</si>
  <si>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</si>
  <si>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</si>
  <si>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</si>
  <si>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</si>
  <si>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</si>
  <si>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</si>
  <si>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</si>
  <si>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</si>
  <si>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</si>
  <si>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</si>
  <si>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</si>
  <si>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</si>
  <si>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</si>
  <si>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</si>
  <si>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</si>
  <si>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</si>
  <si>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</si>
  <si>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</si>
  <si>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</si>
  <si>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</si>
  <si>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</si>
  <si>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</si>
  <si>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</si>
  <si>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</si>
  <si>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</si>
  <si>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</si>
  <si>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</si>
  <si>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</si>
  <si>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</si>
  <si>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</si>
  <si>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</si>
  <si>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</si>
  <si>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</si>
  <si>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</si>
  <si>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</si>
  <si>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</si>
  <si>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</si>
  <si>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</si>
  <si>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</si>
  <si>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</si>
  <si>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</si>
  <si>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</si>
  <si>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</si>
  <si>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</si>
  <si>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</si>
  <si>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</si>
  <si>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</si>
  <si>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</si>
  <si>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</si>
  <si>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</si>
  <si>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</si>
  <si>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</si>
  <si>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</si>
  <si>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</si>
  <si>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</si>
  <si>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</si>
  <si>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</si>
  <si>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</si>
  <si>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</si>
  <si>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</si>
  <si>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</si>
  <si>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</si>
  <si>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</si>
  <si>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</si>
  <si>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</si>
  <si>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</si>
  <si>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</si>
  <si>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</si>
  <si>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</si>
  <si>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</si>
  <si>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</si>
  <si>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</si>
  <si>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</si>
  <si>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</si>
  <si>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</si>
  <si>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</si>
  <si>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</si>
  <si>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</si>
  <si>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</si>
  <si>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</si>
  <si>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</si>
  <si>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</si>
  <si>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</si>
  <si>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</si>
  <si>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</si>
  <si>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</si>
  <si>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</si>
  <si>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</si>
  <si>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</si>
  <si>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</si>
  <si>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</si>
  <si>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</si>
  <si>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</si>
  <si>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</si>
  <si>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</si>
  <si>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</si>
  <si>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</si>
  <si>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</si>
  <si>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</si>
  <si>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</si>
  <si>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</si>
  <si>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</si>
  <si>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</si>
  <si>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</si>
  <si>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</si>
  <si>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</si>
  <si>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</si>
  <si>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</si>
  <si>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</si>
  <si>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</si>
  <si>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</si>
  <si>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</si>
  <si>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</si>
  <si>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</si>
  <si>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</si>
  <si>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</si>
  <si>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</si>
  <si>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</si>
  <si>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</si>
  <si>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</si>
  <si>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</si>
  <si>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</si>
  <si>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</si>
  <si>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</si>
  <si>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</si>
  <si>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</si>
  <si>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</si>
  <si>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</si>
  <si>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</si>
  <si>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</si>
  <si>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</si>
  <si>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</si>
  <si>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</si>
  <si>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</si>
  <si>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</si>
  <si>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</si>
  <si>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</si>
  <si>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</si>
  <si>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</si>
  <si>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</si>
  <si>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</si>
  <si>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</si>
  <si>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</si>
  <si>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</si>
  <si>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</si>
  <si>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</si>
  <si>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</si>
  <si>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</si>
  <si>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</si>
  <si>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</si>
  <si>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</si>
  <si>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</si>
  <si>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</si>
  <si>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</si>
  <si>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</si>
  <si>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</si>
  <si>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</si>
  <si>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</si>
  <si>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</si>
  <si>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</si>
  <si>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</si>
  <si>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</si>
  <si>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</si>
  <si>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</si>
  <si>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</si>
  <si>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</si>
  <si>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</si>
  <si>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</si>
  <si>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</si>
  <si>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</si>
  <si>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</si>
  <si>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</si>
  <si>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</si>
  <si>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</si>
  <si>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</si>
  <si>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</si>
  <si>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</si>
  <si>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</si>
  <si>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</si>
  <si>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</si>
  <si>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</si>
  <si>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</si>
  <si>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</si>
  <si>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</si>
  <si>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</si>
  <si>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</si>
  <si>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</si>
  <si>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</si>
  <si>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</si>
  <si>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</si>
  <si>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</si>
  <si>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</si>
  <si>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</si>
  <si>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</si>
  <si>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</si>
  <si>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</si>
  <si>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</si>
  <si>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</si>
  <si>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</si>
  <si>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</si>
  <si>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</si>
  <si>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</si>
  <si>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</si>
  <si>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</si>
  <si>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</si>
  <si>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</si>
  <si>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</si>
  <si>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</si>
  <si>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</si>
  <si>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</si>
  <si>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</si>
  <si>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</si>
  <si>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</si>
  <si>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</si>
  <si>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</si>
  <si>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</si>
  <si>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</si>
  <si>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</si>
  <si>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</si>
  <si>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</si>
  <si>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</si>
  <si>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</si>
  <si>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</si>
  <si>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</si>
  <si>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</si>
  <si>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</si>
  <si>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</si>
  <si>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</si>
  <si>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</si>
  <si>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</si>
  <si>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</si>
  <si>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</si>
  <si>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</si>
  <si>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</si>
  <si>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</si>
  <si>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</si>
  <si>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</si>
  <si>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</si>
  <si>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</si>
  <si>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</si>
  <si>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</si>
  <si>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</si>
  <si>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</si>
  <si>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</si>
  <si>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</si>
  <si>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</si>
  <si>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</si>
  <si>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</si>
  <si>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</si>
  <si>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</si>
  <si>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</si>
  <si>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</si>
  <si>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</si>
  <si>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</si>
  <si>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</si>
  <si>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</si>
  <si>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</si>
  <si>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</si>
  <si>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</si>
  <si>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</si>
  <si>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</si>
  <si>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</si>
  <si>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</si>
  <si>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</si>
  <si>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</si>
  <si>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</si>
  <si>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</si>
  <si>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</si>
  <si>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</si>
  <si>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</si>
  <si>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</si>
  <si>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</si>
  <si>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</si>
  <si>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</si>
  <si>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</si>
  <si>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</si>
  <si>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</si>
  <si>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</si>
  <si>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</si>
  <si>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</si>
  <si>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</si>
  <si>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</si>
  <si>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</si>
  <si>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</si>
  <si>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</si>
  <si>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</si>
  <si>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</si>
  <si>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</si>
  <si>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</si>
  <si>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</si>
  <si>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</si>
  <si>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</si>
  <si>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</si>
  <si>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</si>
  <si>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</si>
  <si>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</si>
  <si>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</si>
  <si>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</si>
  <si>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</si>
  <si>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</si>
  <si>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</si>
  <si>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</si>
  <si>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</si>
  <si>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</si>
  <si>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</si>
  <si>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</si>
  <si>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</si>
  <si>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</si>
  <si>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</si>
  <si>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</si>
  <si>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</si>
  <si>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</si>
  <si>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</si>
  <si>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</si>
  <si>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</si>
  <si>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</si>
  <si>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</si>
  <si>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</si>
  <si>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</si>
  <si>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</si>
  <si>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</si>
  <si>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</si>
  <si>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</si>
  <si>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</si>
  <si>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</si>
  <si>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</si>
  <si>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</si>
  <si>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</si>
  <si>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</si>
  <si>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</si>
  <si>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</si>
  <si>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</si>
  <si>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</si>
  <si>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</si>
  <si>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</si>
  <si>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</si>
  <si>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</si>
  <si>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</si>
  <si>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</si>
  <si>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</si>
  <si>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</si>
  <si>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</si>
  <si>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</si>
  <si>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</si>
  <si>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</si>
  <si>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</si>
  <si>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</si>
  <si>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</si>
  <si>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</si>
  <si>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</si>
  <si>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</si>
  <si>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</si>
  <si>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</si>
  <si>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</si>
  <si>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</si>
  <si>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</si>
  <si>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</si>
  <si>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</si>
  <si>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</si>
  <si>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</si>
  <si>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</si>
  <si>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</si>
  <si>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</si>
  <si>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</si>
  <si>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</si>
  <si>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</si>
  <si>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</si>
  <si>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</si>
  <si>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</si>
  <si>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</si>
  <si>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</si>
  <si>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</si>
  <si>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</si>
  <si>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</si>
  <si>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</si>
  <si>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</si>
  <si>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</si>
  <si>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</si>
  <si>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</si>
  <si>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</si>
  <si>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</si>
  <si>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</si>
  <si>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</si>
  <si>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</si>
  <si>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</si>
  <si>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</si>
  <si>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</si>
  <si>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</si>
  <si>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</si>
  <si>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</si>
  <si>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</si>
  <si>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</si>
  <si>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</si>
  <si>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</si>
  <si>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</si>
  <si>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</si>
  <si>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</si>
  <si>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</si>
  <si>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</si>
  <si>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</si>
  <si>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</si>
  <si>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</si>
  <si>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</si>
  <si>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</si>
  <si>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</si>
  <si>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</si>
  <si>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</si>
  <si>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</si>
  <si>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</si>
  <si>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</si>
  <si>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</si>
  <si>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</si>
  <si>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</si>
  <si>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</si>
  <si>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</si>
  <si>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</si>
  <si>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</si>
  <si>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</si>
  <si>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</si>
  <si>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</si>
  <si>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</si>
  <si>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</si>
  <si>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</si>
  <si>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</si>
  <si>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</si>
  <si>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</si>
  <si>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</si>
  <si>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</si>
  <si>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</si>
  <si>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</si>
  <si>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</si>
  <si>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</si>
  <si>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</si>
  <si>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</si>
  <si>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</si>
  <si>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</si>
  <si>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</si>
  <si>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</si>
  <si>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</si>
  <si>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</si>
  <si>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</si>
  <si>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</si>
  <si>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</si>
  <si>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</si>
  <si>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</si>
  <si>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</si>
  <si>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</si>
  <si>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</si>
  <si>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</si>
  <si>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</si>
  <si>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</si>
  <si>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</si>
  <si>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</si>
  <si>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</si>
  <si>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</si>
  <si>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</si>
  <si>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</si>
  <si>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</si>
  <si>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</si>
  <si>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</si>
  <si>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</si>
  <si>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</si>
  <si>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</si>
  <si>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</si>
  <si>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</si>
  <si>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</si>
  <si>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</si>
  <si>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</si>
  <si>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</si>
  <si>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</si>
  <si>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</si>
  <si>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</si>
  <si>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</si>
  <si>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</si>
  <si>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</si>
  <si>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</si>
  <si>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</si>
  <si>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</si>
  <si>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</si>
  <si>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</si>
  <si>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</si>
  <si>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</si>
  <si>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</si>
  <si>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</si>
  <si>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</si>
  <si>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</si>
  <si>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</si>
  <si>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</si>
  <si>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</si>
  <si>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</si>
  <si>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</si>
  <si>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</si>
  <si>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</si>
  <si>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</si>
  <si>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</si>
  <si>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</si>
  <si>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</si>
  <si>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</si>
  <si>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</si>
  <si>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</si>
  <si>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</si>
  <si>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</si>
  <si>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</si>
  <si>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</si>
  <si>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</si>
  <si>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</si>
  <si>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</si>
  <si>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</si>
  <si>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</si>
  <si>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</si>
  <si>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</si>
  <si>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</si>
  <si>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</si>
  <si>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</si>
  <si>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</si>
  <si>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</si>
  <si>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</si>
  <si>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</si>
  <si>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</si>
  <si>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</si>
  <si>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</si>
  <si>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</si>
  <si>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</si>
  <si>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</si>
  <si>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</si>
  <si>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</si>
  <si>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</si>
  <si>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</si>
  <si>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</si>
  <si>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</si>
  <si>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</si>
  <si>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</si>
  <si>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</si>
  <si>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</si>
  <si>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</si>
  <si>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</si>
  <si>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</si>
  <si>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</si>
  <si>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</si>
  <si>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</si>
  <si>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</si>
  <si>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</si>
  <si>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</si>
  <si>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</si>
  <si>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</si>
  <si>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</si>
  <si>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</si>
  <si>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</si>
  <si>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</si>
  <si>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</si>
  <si>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</si>
  <si>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</si>
  <si>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</si>
  <si>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</si>
  <si>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</si>
  <si>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</si>
  <si>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</si>
  <si>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</si>
  <si>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</si>
  <si>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</si>
  <si>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</si>
  <si>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</si>
  <si>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</si>
  <si>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</si>
  <si>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</si>
  <si>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</si>
  <si>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</si>
  <si>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</si>
  <si>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</si>
  <si>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</si>
  <si>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</si>
  <si>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</si>
  <si>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</si>
  <si>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</si>
  <si>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</si>
  <si>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</si>
  <si>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</si>
  <si>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</si>
  <si>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</si>
  <si>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</si>
  <si>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</si>
  <si>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</si>
  <si>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</si>
  <si>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</si>
  <si>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</si>
  <si>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</si>
  <si>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</si>
  <si>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</si>
  <si>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</si>
  <si>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</si>
  <si>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</si>
  <si>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</si>
  <si>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</si>
  <si>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</si>
  <si>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</si>
  <si>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</si>
  <si>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</si>
  <si>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</si>
  <si>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</si>
  <si>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</si>
  <si>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</si>
  <si>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</si>
  <si>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</si>
  <si>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</si>
  <si>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</si>
  <si>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</si>
  <si>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</si>
  <si>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</si>
  <si>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</si>
  <si>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</si>
  <si>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</si>
  <si>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</si>
  <si>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</si>
  <si>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</si>
  <si>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</si>
  <si>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</si>
  <si>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</si>
  <si>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</si>
  <si>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</si>
  <si>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</si>
  <si>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</si>
  <si>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</si>
  <si>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</si>
  <si>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</si>
  <si>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</si>
  <si>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</si>
  <si>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</si>
  <si>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</si>
  <si>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</si>
  <si>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</si>
  <si>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</si>
  <si>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</si>
  <si>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</si>
  <si>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</si>
  <si>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</si>
  <si>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</si>
  <si>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</si>
  <si>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</si>
  <si>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</si>
  <si>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</si>
  <si>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</si>
  <si>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</si>
  <si>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</si>
  <si>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</si>
  <si>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</si>
  <si>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</si>
  <si>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</si>
  <si>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</si>
  <si>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</si>
  <si>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</si>
  <si>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</si>
  <si>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</si>
  <si>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</si>
  <si>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</si>
  <si>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</si>
  <si>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</si>
  <si>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</si>
  <si>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</si>
  <si>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</si>
  <si>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</si>
  <si>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</si>
  <si>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</si>
  <si>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</si>
  <si>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</si>
  <si>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</si>
  <si>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</si>
  <si>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</si>
  <si>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</si>
  <si>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</si>
  <si>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</si>
  <si>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</si>
  <si>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</si>
  <si>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</si>
  <si>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</si>
  <si>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</si>
  <si>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</si>
  <si>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</si>
  <si>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</si>
  <si>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</si>
  <si>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</si>
  <si>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</si>
  <si>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</si>
  <si>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</si>
  <si>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</si>
  <si>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</si>
  <si>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</si>
  <si>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</si>
  <si>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</si>
  <si>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</si>
  <si>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</si>
  <si>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</si>
  <si>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</si>
  <si>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</si>
  <si>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</si>
  <si>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</si>
  <si>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</si>
  <si>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</si>
  <si>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</si>
  <si>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</si>
  <si>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</si>
  <si>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</si>
  <si>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</si>
  <si>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</si>
  <si>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</si>
  <si>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</si>
  <si>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</si>
  <si>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</si>
  <si>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</si>
  <si>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</si>
  <si>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</si>
  <si>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</si>
  <si>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</si>
  <si>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</si>
  <si>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</si>
  <si>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</si>
  <si>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</si>
  <si>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</si>
  <si>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</si>
  <si>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</si>
  <si>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</si>
  <si>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</si>
  <si>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</si>
  <si>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</si>
  <si>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</si>
  <si>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</si>
  <si>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</si>
  <si>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</si>
  <si>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</si>
  <si>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</si>
  <si>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</si>
  <si>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</si>
  <si>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</si>
  <si>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</si>
  <si>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</si>
  <si>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</si>
  <si>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</si>
  <si>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</si>
  <si>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</si>
  <si>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</si>
  <si>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</si>
  <si>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</si>
  <si>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</si>
  <si>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</si>
  <si>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</si>
  <si>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</si>
  <si>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</si>
  <si>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</si>
  <si>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</si>
  <si>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</si>
  <si>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</si>
  <si>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</si>
  <si>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</si>
  <si>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</si>
  <si>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</si>
  <si>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</si>
  <si>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</si>
  <si>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</si>
  <si>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</si>
  <si>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</si>
  <si>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</si>
  <si>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</si>
  <si>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</si>
  <si>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</si>
  <si>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</si>
  <si>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</si>
  <si>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</si>
  <si>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</si>
  <si>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</si>
  <si>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</si>
  <si>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</si>
  <si>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</si>
  <si>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</si>
  <si>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</si>
  <si>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</si>
  <si>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</si>
  <si>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</si>
  <si>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</si>
  <si>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</si>
  <si>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</si>
  <si>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</si>
  <si>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</si>
  <si>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</si>
  <si>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</si>
  <si>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</si>
  <si>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</si>
  <si>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</si>
  <si>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</si>
  <si>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</si>
  <si>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</si>
  <si>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</si>
  <si>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</si>
  <si>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</si>
  <si>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</si>
  <si>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</si>
  <si>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</si>
  <si>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</si>
  <si>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</si>
  <si>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</si>
  <si>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</si>
  <si>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</si>
  <si>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</si>
  <si>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</si>
  <si>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</si>
  <si>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</si>
  <si>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</si>
  <si>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</si>
  <si>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</si>
  <si>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</si>
  <si>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</si>
  <si>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</si>
  <si>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</si>
  <si>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</si>
  <si>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</si>
  <si>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</si>
  <si>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</si>
  <si>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</si>
  <si>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</si>
  <si>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</si>
  <si>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</si>
  <si>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</si>
  <si>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</si>
  <si>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</si>
  <si>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</si>
  <si>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</si>
  <si>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</si>
  <si>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</si>
  <si>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</si>
  <si>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</si>
  <si>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</si>
  <si>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</si>
  <si>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</si>
  <si>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</si>
  <si>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</si>
  <si>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</si>
  <si>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</si>
  <si>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</si>
  <si>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</si>
  <si>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</si>
  <si>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</si>
  <si>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</si>
  <si>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</si>
  <si>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</si>
  <si>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</si>
  <si>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</si>
  <si>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</si>
  <si>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</si>
  <si>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</si>
  <si>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</si>
  <si>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</si>
  <si>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</si>
  <si>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</si>
  <si>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</si>
  <si>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</si>
  <si>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</si>
  <si>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</si>
  <si>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</si>
  <si>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</si>
  <si>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</si>
  <si>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</si>
  <si>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</si>
  <si>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</si>
  <si>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</si>
  <si>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</si>
  <si>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</si>
  <si>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</si>
  <si>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</si>
  <si>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</si>
  <si>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</si>
  <si>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</si>
  <si>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</si>
  <si>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</si>
  <si>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</si>
  <si>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</si>
  <si>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</si>
  <si>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</si>
  <si>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</si>
  <si>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</si>
  <si>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</si>
  <si>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</si>
  <si>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</si>
  <si>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</si>
  <si>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</si>
  <si>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</si>
  <si>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</si>
  <si>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</si>
  <si>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</si>
  <si>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</si>
  <si>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</si>
  <si>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</si>
  <si>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</si>
  <si>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</si>
  <si>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</si>
  <si>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</si>
  <si>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</si>
  <si>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</si>
  <si>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</si>
  <si>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</si>
  <si>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</si>
  <si>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</si>
  <si>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</si>
  <si>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</si>
  <si>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</si>
  <si>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</si>
  <si>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</si>
  <si>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</si>
  <si>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</si>
  <si>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</si>
  <si>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</si>
  <si>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</si>
  <si>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</si>
  <si>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</si>
  <si>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</si>
  <si>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</si>
  <si>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</si>
  <si>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</si>
  <si>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</si>
  <si>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</si>
  <si>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</si>
  <si>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</si>
  <si>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</si>
  <si>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</si>
  <si>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</si>
  <si>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</si>
  <si>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</si>
  <si>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</si>
  <si>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</si>
  <si>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</si>
  <si>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</si>
  <si>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</si>
  <si>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</si>
  <si>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</si>
  <si>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</si>
  <si>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</si>
  <si>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</si>
  <si>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</si>
  <si>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</si>
  <si>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</si>
  <si>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</si>
  <si>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</si>
  <si>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</si>
  <si>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</si>
  <si>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</si>
  <si>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</si>
  <si>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</si>
  <si>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</si>
  <si>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</si>
  <si>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</si>
  <si>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</si>
  <si>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</si>
  <si>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</si>
  <si>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</si>
  <si>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</si>
  <si>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</si>
  <si>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</si>
  <si>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</si>
  <si>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</si>
  <si>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</si>
  <si>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</si>
  <si>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</si>
  <si>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</si>
  <si>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</si>
  <si>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</si>
  <si>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</si>
  <si>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</si>
  <si>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</si>
  <si>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</si>
  <si>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</si>
  <si>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</si>
  <si>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</si>
  <si>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</si>
  <si>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</si>
  <si>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</si>
  <si>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</si>
  <si>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</si>
  <si>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</si>
  <si>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</si>
  <si>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</si>
  <si>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</si>
  <si>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</si>
  <si>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</si>
  <si>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</si>
  <si>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</si>
  <si>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</si>
  <si>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</si>
  <si>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</si>
  <si>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</si>
  <si>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</si>
  <si>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</si>
  <si>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</si>
  <si>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</si>
  <si>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</si>
  <si>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</si>
  <si>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</si>
  <si>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</si>
  <si>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</si>
  <si>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</si>
  <si>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</si>
  <si>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</si>
  <si>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</si>
  <si>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</si>
  <si>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</si>
  <si>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</si>
  <si>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</si>
  <si>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</si>
  <si>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</si>
  <si>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</si>
  <si>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</si>
  <si>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</si>
  <si>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</si>
  <si>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</si>
  <si>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</si>
  <si>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</si>
  <si>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</si>
  <si>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</si>
  <si>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</si>
  <si>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</si>
  <si>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</si>
  <si>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</si>
  <si>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</si>
  <si>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</si>
  <si>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</si>
  <si>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</si>
  <si>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</si>
  <si>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</si>
  <si>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</si>
  <si>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</si>
  <si>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</si>
  <si>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</si>
  <si>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</si>
  <si>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</si>
  <si>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</si>
  <si>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</si>
  <si>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</si>
  <si>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</si>
  <si>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</si>
  <si>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</si>
  <si>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</si>
  <si>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</si>
  <si>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</si>
  <si>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</si>
  <si>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</si>
  <si>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</si>
  <si>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</si>
  <si>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</si>
  <si>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</si>
  <si>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</si>
  <si>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</si>
  <si>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</si>
  <si>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</si>
  <si>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</si>
  <si>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</si>
  <si>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</si>
  <si>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</si>
  <si>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</si>
  <si>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</si>
  <si>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</si>
  <si>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</si>
  <si>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</si>
  <si>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</si>
  <si>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</si>
  <si>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</si>
  <si>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</si>
  <si>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</si>
  <si>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</si>
  <si>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</si>
  <si>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</si>
  <si>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</si>
  <si>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</si>
  <si>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</si>
  <si>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</si>
  <si>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</si>
  <si>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</si>
  <si>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</si>
  <si>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</si>
  <si>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</si>
  <si>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</si>
  <si>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</si>
  <si>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</si>
  <si>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</si>
  <si>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</si>
  <si>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</si>
  <si>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</si>
  <si>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</si>
  <si>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</si>
  <si>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</si>
  <si>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</si>
  <si>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</si>
  <si>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</si>
  <si>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</si>
  <si>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</si>
  <si>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</si>
  <si>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</si>
  <si>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</si>
  <si>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</si>
  <si>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</si>
  <si>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</si>
  <si>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</si>
  <si>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</si>
  <si>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</si>
  <si>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</si>
  <si>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</si>
  <si>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</si>
  <si>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</si>
  <si>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</si>
  <si>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</si>
  <si>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</si>
  <si>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</si>
  <si>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</si>
  <si>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</si>
  <si>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</si>
  <si>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</si>
  <si>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</si>
  <si>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</si>
  <si>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</si>
  <si>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</si>
  <si>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</si>
  <si>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</si>
  <si>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</si>
  <si>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</si>
  <si>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</si>
  <si>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</si>
  <si>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</si>
  <si>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</si>
  <si>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</si>
  <si>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</si>
  <si>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</si>
  <si>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</si>
  <si>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</si>
  <si>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</si>
  <si>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</si>
  <si>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</si>
  <si>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</si>
  <si>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</si>
  <si>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</si>
  <si>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</si>
  <si>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</si>
  <si>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</si>
  <si>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</si>
  <si>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</si>
  <si>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</si>
  <si>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</si>
  <si>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</si>
  <si>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</si>
  <si>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</si>
  <si>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</si>
  <si>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</si>
  <si>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</si>
  <si>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</si>
  <si>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</si>
  <si>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</si>
  <si>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</si>
  <si>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</si>
  <si>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</si>
  <si>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</si>
  <si>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</si>
  <si>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</si>
  <si>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</si>
  <si>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</si>
  <si>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</si>
  <si>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</si>
  <si>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</si>
  <si>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</si>
  <si>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</si>
  <si>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</si>
  <si>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</si>
  <si>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</si>
  <si>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</si>
  <si>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</si>
  <si>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</si>
  <si>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</si>
  <si>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</si>
  <si>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</si>
  <si>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</si>
  <si>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</si>
  <si>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</si>
  <si>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</si>
  <si>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</si>
  <si>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</si>
  <si>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</si>
  <si>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</si>
  <si>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</si>
  <si>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</si>
  <si>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</si>
  <si>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</si>
  <si>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</si>
  <si>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</si>
  <si>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</si>
  <si>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</si>
  <si>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</si>
  <si>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</si>
  <si>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</si>
  <si>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</si>
  <si>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</si>
  <si>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</si>
  <si>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</si>
  <si>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</si>
  <si>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</si>
  <si>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</si>
  <si>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</si>
  <si>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</si>
  <si>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</si>
  <si>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</si>
  <si>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</si>
  <si>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</si>
  <si>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</si>
  <si>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</si>
  <si>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</si>
  <si>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</si>
  <si>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</si>
  <si>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</si>
  <si>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</si>
  <si>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</si>
  <si>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</si>
  <si>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</si>
  <si>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</si>
  <si>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</si>
  <si>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</si>
  <si>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</si>
  <si>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</si>
  <si>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</si>
  <si>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</si>
  <si>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</si>
  <si>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</si>
  <si>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</si>
  <si>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</si>
  <si>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</si>
  <si>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</si>
  <si>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</si>
  <si>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</si>
  <si>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</si>
  <si>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</si>
  <si>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</si>
  <si>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</si>
  <si>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</si>
  <si>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</si>
  <si>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</si>
  <si>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</si>
  <si>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</si>
  <si>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</si>
  <si>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</si>
  <si>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</si>
  <si>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</si>
  <si>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</si>
  <si>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</si>
  <si>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</si>
  <si>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</si>
  <si>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</si>
  <si>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</si>
  <si>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</si>
  <si>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</si>
  <si>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</si>
  <si>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</si>
  <si>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</si>
  <si>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</si>
  <si>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</si>
  <si>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</si>
  <si>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</si>
  <si>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</si>
  <si>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</si>
  <si>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</si>
  <si>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</si>
  <si>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</si>
  <si>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</si>
  <si>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</si>
  <si>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</si>
  <si>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</si>
  <si>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</si>
  <si>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</si>
  <si>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</si>
  <si>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</si>
  <si>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</si>
  <si>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</si>
  <si>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</si>
  <si>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</si>
  <si>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</si>
  <si>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</si>
  <si>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</si>
  <si>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</si>
  <si>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</si>
  <si>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</si>
  <si>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</si>
  <si>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</si>
  <si>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</si>
  <si>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</si>
  <si>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</si>
  <si>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</si>
  <si>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</si>
  <si>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</si>
  <si>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</si>
  <si>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</si>
  <si>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</si>
  <si>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</si>
  <si>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</si>
  <si>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</si>
  <si>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</si>
  <si>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</si>
  <si>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</si>
  <si>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</si>
  <si>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</si>
  <si>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</si>
  <si>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</si>
  <si>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</si>
  <si>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</si>
  <si>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</si>
  <si>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</si>
  <si>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</si>
  <si>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</si>
  <si>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</si>
  <si>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</si>
  <si>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</si>
  <si>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</si>
  <si>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</si>
  <si>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</si>
  <si>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</si>
  <si>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</si>
  <si>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</si>
  <si>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</si>
  <si>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</si>
  <si>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</si>
  <si>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</si>
  <si>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</si>
  <si>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</si>
  <si>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</si>
  <si>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</si>
  <si>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</si>
  <si>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</si>
  <si>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</si>
  <si>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</si>
  <si>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</si>
  <si>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</si>
  <si>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</si>
  <si>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</si>
  <si>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</si>
  <si>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</si>
  <si>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</si>
  <si>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</si>
  <si>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</si>
  <si>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</si>
  <si>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</si>
  <si>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</si>
  <si>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</si>
  <si>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</si>
  <si>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</si>
  <si>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</si>
  <si>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</si>
  <si>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</si>
  <si>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</si>
  <si>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</si>
  <si>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</si>
  <si>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</si>
  <si>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</si>
  <si>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</si>
  <si>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</si>
  <si>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</si>
  <si>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</si>
  <si>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</si>
  <si>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</si>
  <si>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</si>
  <si>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</si>
  <si>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</si>
  <si>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</si>
  <si>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</si>
  <si>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</si>
  <si>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</si>
  <si>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</si>
  <si>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</si>
  <si>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</si>
  <si>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</si>
  <si>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</si>
  <si>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</si>
  <si>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</si>
  <si>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</si>
  <si>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</si>
  <si>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</si>
  <si>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</si>
  <si>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</si>
  <si>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</si>
  <si>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</si>
  <si>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</si>
  <si>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</si>
  <si>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</si>
  <si>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</si>
  <si>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</si>
  <si>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</si>
  <si>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</si>
  <si>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</si>
  <si>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</si>
  <si>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</si>
  <si>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</si>
  <si>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</si>
  <si>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</si>
  <si>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</si>
  <si>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</si>
  <si>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</si>
  <si>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</si>
  <si>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</si>
  <si>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</si>
  <si>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</si>
  <si>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</si>
  <si>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</si>
  <si>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</si>
  <si>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</si>
  <si>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</si>
  <si>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</si>
  <si>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</si>
  <si>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</si>
  <si>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</si>
  <si>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</si>
  <si>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</si>
  <si>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</si>
  <si>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</si>
  <si>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</si>
  <si>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</si>
  <si>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</si>
  <si>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</si>
  <si>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</si>
  <si>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</si>
  <si>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</si>
  <si>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</si>
  <si>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</si>
  <si>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</si>
  <si>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</si>
  <si>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</si>
  <si>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</si>
  <si>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</si>
  <si>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</si>
  <si>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</si>
  <si>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</si>
  <si>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</si>
  <si>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</si>
  <si>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</si>
  <si>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</si>
  <si>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</si>
  <si>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</si>
  <si>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</si>
  <si>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</si>
  <si>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</si>
  <si>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</si>
  <si>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</si>
  <si>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</si>
  <si>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</si>
  <si>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</si>
  <si>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</si>
  <si>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</si>
  <si>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</si>
  <si>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</si>
  <si>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</si>
  <si>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</si>
  <si>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</si>
  <si>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</si>
  <si>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</si>
  <si>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</si>
  <si>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</si>
  <si>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</si>
  <si>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</si>
  <si>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</si>
  <si>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</si>
  <si>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</si>
  <si>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</si>
  <si>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</si>
  <si>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</si>
  <si>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</si>
  <si>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</si>
  <si>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</si>
  <si>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</si>
  <si>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</si>
  <si>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</si>
  <si>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</si>
  <si>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</si>
  <si>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</si>
  <si>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</si>
  <si>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</si>
  <si>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</si>
  <si>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</si>
  <si>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</si>
  <si>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</si>
  <si>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</si>
  <si>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</si>
  <si>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</si>
  <si>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</si>
  <si>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</si>
  <si>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</si>
  <si>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</si>
  <si>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</si>
  <si>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</si>
  <si>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</si>
  <si>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</si>
  <si>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</si>
  <si>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</si>
  <si>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</si>
  <si>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</si>
  <si>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</si>
  <si>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</si>
  <si>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</si>
  <si>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</si>
  <si>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</si>
  <si>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</si>
  <si>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</si>
  <si>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</si>
  <si>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</si>
  <si>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</si>
  <si>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</si>
  <si>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</si>
  <si>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</si>
  <si>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</si>
  <si>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</si>
  <si>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</si>
  <si>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</si>
  <si>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</si>
  <si>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</si>
  <si>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</si>
  <si>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</si>
  <si>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</si>
  <si>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</si>
  <si>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</si>
  <si>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</si>
  <si>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</si>
  <si>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</si>
  <si>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</si>
  <si>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</si>
  <si>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</si>
  <si>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</si>
  <si>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</si>
  <si>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20-563-1927</t>
  </si>
  <si>
    <t>D-U-N-S</t>
  </si>
  <si>
    <t>Hammond Manufacturing Company Limited</t>
  </si>
  <si>
    <t>394 Edinburgh Road North, Guelph, Ontario, Canada  N1H 1E5</t>
  </si>
  <si>
    <t xml:space="preserve">Ross Hammond  </t>
  </si>
  <si>
    <t>rnhammond@hammfg.com</t>
  </si>
  <si>
    <t>+1 519 886 7170</t>
  </si>
  <si>
    <t>Compliance Manager</t>
  </si>
  <si>
    <t>https://cdn.hammfg.com/compliance/conflict-minerals-policy-2019.pdf</t>
  </si>
  <si>
    <t>Transformer products</t>
  </si>
  <si>
    <t>Outlet strip products</t>
  </si>
  <si>
    <t>Air conditioners, heaters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</si>
</sst>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4">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nhammond@hammf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dn.hammfg.com/compliance/conflict-minerals-policy-2019.pdf" TargetMode="External"/><Relationship Id="rId4" Type="http://schemas.openxmlformats.org/officeDocument/2006/relationships/hyperlink" Target="mailto:rnhammond@hammf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7"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15657</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15655</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15656</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15659</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15662</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15660</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15661</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44869</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3</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3</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3</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v>1</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93" priority="64" stopIfTrue="1">
      <formula>AND(OR($D$26="No",AND($D$26="Yes",$D$32="No")),OR($D$27="No",AND($D$27="Yes",$D$33="No")),OR($D$28="No",AND($D$28="Yes",$D$34="No")),OR($D$29="No",AND($D$29="Yes",$D$35="No")))</formula>
    </cfRule>
    <cfRule type="expression" dxfId="92" priority="65" stopIfTrue="1">
      <formula>IF(D75="",TRUE)</formula>
    </cfRule>
  </conditionalFormatting>
  <conditionalFormatting sqref="G77:J77">
    <cfRule type="expression" dxfId="91" priority="36" stopIfTrue="1">
      <formula>IF(AND($D$77="Yes",$G$77=""),TRUE)</formula>
    </cfRule>
  </conditionalFormatting>
  <conditionalFormatting sqref="D26:E26">
    <cfRule type="expression" dxfId="90" priority="116" stopIfTrue="1">
      <formula>IF($D$26="",TRUE)</formula>
    </cfRule>
  </conditionalFormatting>
  <conditionalFormatting sqref="D27:E27">
    <cfRule type="expression" dxfId="89" priority="123" stopIfTrue="1">
      <formula>IF($D$27="",TRUE)</formula>
    </cfRule>
  </conditionalFormatting>
  <conditionalFormatting sqref="D28:E28">
    <cfRule type="expression" dxfId="88" priority="124" stopIfTrue="1">
      <formula>IF($D$28="",TRUE)</formula>
    </cfRule>
  </conditionalFormatting>
  <conditionalFormatting sqref="D29:E29">
    <cfRule type="expression" dxfId="87" priority="125" stopIfTrue="1">
      <formula>IF($D$29="",TRUE)</formula>
    </cfRule>
  </conditionalFormatting>
  <conditionalFormatting sqref="D8:J8">
    <cfRule type="expression" dxfId="86" priority="130" stopIfTrue="1">
      <formula>IF($D$8="",TRUE)</formula>
    </cfRule>
  </conditionalFormatting>
  <conditionalFormatting sqref="D9:G9">
    <cfRule type="expression" dxfId="85" priority="131" stopIfTrue="1">
      <formula>IF($D$9="",TRUE)</formula>
    </cfRule>
  </conditionalFormatting>
  <conditionalFormatting sqref="D15:J15">
    <cfRule type="expression" dxfId="84" priority="132" stopIfTrue="1">
      <formula>IF($D$15="",TRUE)</formula>
    </cfRule>
  </conditionalFormatting>
  <conditionalFormatting sqref="D16:J16">
    <cfRule type="expression" dxfId="83" priority="133" stopIfTrue="1">
      <formula>IF($D$16="",TRUE)</formula>
    </cfRule>
  </conditionalFormatting>
  <conditionalFormatting sqref="D17:J17">
    <cfRule type="expression" dxfId="82" priority="1" stopIfTrue="1">
      <formula>IF($D$17="",TRUE)</formula>
    </cfRule>
  </conditionalFormatting>
  <conditionalFormatting sqref="D22:E22">
    <cfRule type="expression" dxfId="81" priority="138" stopIfTrue="1">
      <formula>IF($D$22="",TRUE)</formula>
    </cfRule>
  </conditionalFormatting>
  <conditionalFormatting sqref="D10:J10">
    <cfRule type="expression" dxfId="80" priority="35" stopIfTrue="1">
      <formula>IF($D$9=$Q$9,TRUE)</formula>
    </cfRule>
    <cfRule type="expression" dxfId="79" priority="145" stopIfTrue="1">
      <formula>IF(AND($D$10="",$D$9=$R$9),TRUE)</formula>
    </cfRule>
  </conditionalFormatting>
  <conditionalFormatting sqref="D34:E34 D40:E40 D52:E52 D58:E58 D64:E64 D70:E70">
    <cfRule type="expression" dxfId="78" priority="28" stopIfTrue="1">
      <formula>$P$28=""</formula>
    </cfRule>
  </conditionalFormatting>
  <conditionalFormatting sqref="D35:E35 D41:E41 D53:E53 D59:E59 D65:E65 D71:E71">
    <cfRule type="expression" dxfId="77" priority="143" stopIfTrue="1">
      <formula>$P$29=""</formula>
    </cfRule>
  </conditionalFormatting>
  <conditionalFormatting sqref="D32:E32">
    <cfRule type="expression" dxfId="76" priority="121" stopIfTrue="1">
      <formula>$P$26=""</formula>
    </cfRule>
  </conditionalFormatting>
  <conditionalFormatting sqref="D32:E32">
    <cfRule type="expression" dxfId="75" priority="34" stopIfTrue="1">
      <formula>IF(AND(OR($D$26="Yes",$D$26=""),$D$32=""),1,0)</formula>
    </cfRule>
  </conditionalFormatting>
  <conditionalFormatting sqref="D38 D50 D56 D62 D68">
    <cfRule type="expression" dxfId="74" priority="30" stopIfTrue="1">
      <formula>$P$32=""</formula>
    </cfRule>
  </conditionalFormatting>
  <conditionalFormatting sqref="D39:E39 D51 D57 D63 D69">
    <cfRule type="expression" dxfId="73" priority="29" stopIfTrue="1">
      <formula>$P$33=""</formula>
    </cfRule>
  </conditionalFormatting>
  <conditionalFormatting sqref="D40 D52 D58 D64 D70">
    <cfRule type="expression" dxfId="72" priority="19" stopIfTrue="1">
      <formula>$P$34=""</formula>
    </cfRule>
    <cfRule type="expression" dxfId="71" priority="141" stopIfTrue="1">
      <formula>IF(AND(OR($D$28="Yes",$D$28=""),D40=""),1,0)</formula>
    </cfRule>
  </conditionalFormatting>
  <conditionalFormatting sqref="D41 D53 D59 D65 D71">
    <cfRule type="expression" dxfId="70" priority="27" stopIfTrue="1">
      <formula>$P$35=""</formula>
    </cfRule>
  </conditionalFormatting>
  <conditionalFormatting sqref="D38:E38 D50:E50 D56:E56 D62:E62 D68:E68">
    <cfRule type="expression" dxfId="69" priority="32" stopIfTrue="1">
      <formula>$P$26=""</formula>
    </cfRule>
    <cfRule type="expression" dxfId="68" priority="33" stopIfTrue="1">
      <formula>IF(AND(OR($D$26="Yes",$D$26=""),D38=""),1,0)</formula>
    </cfRule>
  </conditionalFormatting>
  <conditionalFormatting sqref="G85:J85">
    <cfRule type="expression" dxfId="67" priority="26" stopIfTrue="1">
      <formula>IF(AND($D$85="Yes, using other format (describe)",$G$85=""),TRUE)</formula>
    </cfRule>
  </conditionalFormatting>
  <conditionalFormatting sqref="D39:E39 D51:E51 D57:E57 D63:E63 D69:E69">
    <cfRule type="expression" dxfId="66" priority="139" stopIfTrue="1">
      <formula>$P$39=""</formula>
    </cfRule>
    <cfRule type="expression" dxfId="65" priority="140" stopIfTrue="1">
      <formula>IF(AND(OR($D$27="Yes",$D$27=""),D39=""),1,0)</formula>
    </cfRule>
  </conditionalFormatting>
  <conditionalFormatting sqref="D33:E33">
    <cfRule type="expression" dxfId="64" priority="21" stopIfTrue="1">
      <formula>IF(AND(OR($D$27="Yes",$D$27=""),$D$33=""),1,0)</formula>
    </cfRule>
    <cfRule type="expression" dxfId="63" priority="22" stopIfTrue="1">
      <formula>$P$27=""</formula>
    </cfRule>
  </conditionalFormatting>
  <conditionalFormatting sqref="D34:E34">
    <cfRule type="expression" dxfId="62" priority="142" stopIfTrue="1">
      <formula>IF(AND(OR($D$28="Yes",$D$28=""),$D$34=""),1,0)</formula>
    </cfRule>
  </conditionalFormatting>
  <conditionalFormatting sqref="D41:E41 D53:E53 D59:E59 D65:E65 D71:E71">
    <cfRule type="expression" dxfId="61" priority="144" stopIfTrue="1">
      <formula>IF(AND(OR($D$29="Yes",$D$29=""),D41=""),1,0)</formula>
    </cfRule>
  </conditionalFormatting>
  <conditionalFormatting sqref="D35:E35">
    <cfRule type="expression" dxfId="60" priority="18" stopIfTrue="1">
      <formula>IF(AND(OR($D$29="Yes",$D$29=""),$D$35=""),1,0)</formula>
    </cfRule>
  </conditionalFormatting>
  <conditionalFormatting sqref="D20:J20">
    <cfRule type="expression" dxfId="59" priority="14" stopIfTrue="1">
      <formula>IF($D$20="",TRUE)</formula>
    </cfRule>
  </conditionalFormatting>
  <conditionalFormatting sqref="D46:E46">
    <cfRule type="expression" dxfId="58" priority="4" stopIfTrue="1">
      <formula>$P$28=""</formula>
    </cfRule>
  </conditionalFormatting>
  <conditionalFormatting sqref="D47:E47">
    <cfRule type="expression" dxfId="57" priority="12" stopIfTrue="1">
      <formula>$P$29=""</formula>
    </cfRule>
  </conditionalFormatting>
  <conditionalFormatting sqref="D44">
    <cfRule type="expression" dxfId="56" priority="6" stopIfTrue="1">
      <formula>$P$32=""</formula>
    </cfRule>
  </conditionalFormatting>
  <conditionalFormatting sqref="D45">
    <cfRule type="expression" dxfId="55" priority="5" stopIfTrue="1">
      <formula>$P$33=""</formula>
    </cfRule>
  </conditionalFormatting>
  <conditionalFormatting sqref="D46">
    <cfRule type="expression" dxfId="54" priority="2" stopIfTrue="1">
      <formula>$P$34=""</formula>
    </cfRule>
    <cfRule type="expression" dxfId="53" priority="11" stopIfTrue="1">
      <formula>IF(AND(OR($D$28="Yes",$D$28=""),D46=""),1,0)</formula>
    </cfRule>
  </conditionalFormatting>
  <conditionalFormatting sqref="D47">
    <cfRule type="expression" dxfId="52" priority="3" stopIfTrue="1">
      <formula>$P$35=""</formula>
    </cfRule>
  </conditionalFormatting>
  <conditionalFormatting sqref="D44:E44">
    <cfRule type="expression" dxfId="51" priority="7" stopIfTrue="1">
      <formula>$P$26=""</formula>
    </cfRule>
    <cfRule type="expression" dxfId="50" priority="8" stopIfTrue="1">
      <formula>IF(AND(OR($D$26="Yes",$D$26=""),D44=""),1,0)</formula>
    </cfRule>
  </conditionalFormatting>
  <conditionalFormatting sqref="D45:E45">
    <cfRule type="expression" dxfId="49" priority="9" stopIfTrue="1">
      <formula>$P$39=""</formula>
    </cfRule>
    <cfRule type="expression" dxfId="48" priority="10" stopIfTrue="1">
      <formula>IF(AND(OR($D$27="Yes",$D$27=""),D45=""),1,0)</formula>
    </cfRule>
  </conditionalFormatting>
  <conditionalFormatting sqref="D47:E47">
    <cfRule type="expression" dxfId="47" priority="13" stopIfTrue="1">
      <formula>IF(AND(OR($D$29="Yes",$D$29=""),D47=""),1,0)</formula>
    </cfRule>
  </conditionalFormatting>
  <conditionalFormatting sqref="D18:J18">
    <cfRule type="expression" dxfId="46"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E11" sqref="E11"/>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766</v>
      </c>
      <c r="B5" s="208" t="s">
        <v>1131</v>
      </c>
      <c r="C5" s="212" t="s">
        <v>49</v>
      </c>
      <c r="D5" s="212" t="s">
        <v>49</v>
      </c>
      <c r="E5" s="208" t="s">
        <v>2456</v>
      </c>
      <c r="F5" s="208" t="s">
        <v>766</v>
      </c>
      <c r="G5" s="208" t="s">
        <v>13320</v>
      </c>
      <c r="H5" s="209">
        <v>0</v>
      </c>
      <c r="I5" s="210" t="s">
        <v>1772</v>
      </c>
      <c r="J5" s="210" t="s">
        <v>1748</v>
      </c>
      <c r="K5" s="260"/>
      <c r="L5" s="260"/>
      <c r="M5" s="260"/>
      <c r="N5" s="260"/>
      <c r="O5" s="260"/>
      <c r="P5" s="211"/>
      <c r="Q5" s="261"/>
      <c r="R5" s="208" t="str">
        <f ca="1">IF(ISERROR($V5),"",OFFSET('Smelter Look-up'!$C$4,$V5-4,0)&amp;"")</f>
        <v>Alpha</v>
      </c>
      <c r="S5" s="215" t="str">
        <f t="shared" ref="S5" ca="1" si="0">IF(B5="","",IF(ISERROR(MATCH($E5,CL,0)),"Unknown",INDIRECT("'C'!$A$"&amp;MATCH($E5,CL,0)+1)))</f>
        <v>US</v>
      </c>
      <c r="T5" s="215" t="str">
        <f ca="1">IF(B5="","",IF(ISERROR(MATCH($J5,SorP!$B$1:$B$6230,0)),"",INDIRECT("'SorP'!$A$"&amp;MATCH($J5,SorP!$B$1:$B$6230,0))))</f>
        <v>US-PA</v>
      </c>
      <c r="U5" s="231"/>
      <c r="V5" s="262">
        <f>IF(C5="",NA(),IF(OR(C5="Smelter not listed",C5="Smelter not yet identified"),MATCH($B5&amp;$D5,'Smelter Look-up'!$J:$J,0),MATCH($B5&amp;$C5,'Smelter Look-up'!$J:$J,0)))</f>
        <v>390</v>
      </c>
      <c r="W5" s="263"/>
      <c r="X5" s="263">
        <f t="shared" ref="X5" si="1">IF(AND(C5="Smelter not listed",OR(LEN(D5)=0,LEN(E5)=0)),1,0)</f>
        <v>0</v>
      </c>
      <c r="Y5" s="263"/>
      <c r="Z5" s="263"/>
      <c r="AB5" s="265" t="str">
        <f t="shared" ref="AB5" si="2">B5&amp;C5</f>
        <v>TinAlpha</v>
      </c>
    </row>
    <row r="6" spans="1:34" s="264" customFormat="1" ht="19.899999999999999" customHeight="1">
      <c r="A6" s="316" t="s">
        <v>1410</v>
      </c>
      <c r="B6" s="208" t="s">
        <v>1131</v>
      </c>
      <c r="C6" s="212" t="s">
        <v>906</v>
      </c>
      <c r="D6" s="212" t="s">
        <v>906</v>
      </c>
      <c r="E6" s="208" t="s">
        <v>1108</v>
      </c>
      <c r="F6" s="208" t="s">
        <v>1410</v>
      </c>
      <c r="G6" s="208" t="s">
        <v>13320</v>
      </c>
      <c r="H6" s="209">
        <v>0</v>
      </c>
      <c r="I6" s="210" t="s">
        <v>1581</v>
      </c>
      <c r="J6" s="210" t="s">
        <v>1582</v>
      </c>
      <c r="K6" s="260"/>
      <c r="L6" s="260"/>
      <c r="M6" s="260"/>
      <c r="N6" s="260"/>
      <c r="O6" s="260"/>
      <c r="P6" s="211"/>
      <c r="Q6" s="261"/>
      <c r="R6" s="208" t="str">
        <f ca="1">IF(ISERROR($V6),"",OFFSET('Smelter Look-up'!$C$4,$V6-4,0)&amp;"")</f>
        <v>Dowa</v>
      </c>
      <c r="S6" s="215" t="str">
        <f t="shared" ref="S6:S37" ca="1" si="3">IF(B6="","",IF(ISERROR(MATCH($E6,CL,0)),"Unknown",INDIRECT("'C'!$A$"&amp;MATCH($E6,CL,0)+1)))</f>
        <v>JP</v>
      </c>
      <c r="T6" s="215" t="str">
        <f ca="1">IF(B6="","",IF(ISERROR(MATCH($J6,SorP!$B$1:$B$6230,0)),"",INDIRECT("'SorP'!$A$"&amp;MATCH($J6,SorP!$B$1:$B$6230,0))))</f>
        <v>JP-05</v>
      </c>
      <c r="U6" s="231"/>
      <c r="V6" s="262">
        <f>IF(C6="",NA(),IF(OR(C6="Smelter not listed",C6="Smelter not yet identified"),MATCH($B6&amp;$D6,'Smelter Look-up'!$J:$J,0),MATCH($B6&amp;$C6,'Smelter Look-up'!$J:$J,0)))</f>
        <v>414</v>
      </c>
      <c r="W6" s="263"/>
      <c r="X6" s="263">
        <f t="shared" ref="X6:X37" si="4">IF(AND(C6="Smelter not listed",OR(LEN(D6)=0,LEN(E6)=0)),1,0)</f>
        <v>0</v>
      </c>
      <c r="Y6" s="263"/>
      <c r="Z6" s="263"/>
      <c r="AB6" s="265" t="str">
        <f t="shared" ref="AB6:AB37" si="5">B6&amp;C6</f>
        <v>TinDowa</v>
      </c>
    </row>
    <row r="7" spans="1:34" s="264" customFormat="1" ht="19.899999999999999" customHeight="1">
      <c r="A7" s="316" t="s">
        <v>767</v>
      </c>
      <c r="B7" s="208" t="s">
        <v>1131</v>
      </c>
      <c r="C7" s="212" t="s">
        <v>842</v>
      </c>
      <c r="D7" s="212" t="s">
        <v>842</v>
      </c>
      <c r="E7" s="208" t="s">
        <v>2454</v>
      </c>
      <c r="F7" s="208" t="s">
        <v>767</v>
      </c>
      <c r="G7" s="208" t="s">
        <v>13320</v>
      </c>
      <c r="H7" s="209">
        <v>0</v>
      </c>
      <c r="I7" s="210" t="s">
        <v>1781</v>
      </c>
      <c r="J7" s="210" t="s">
        <v>1781</v>
      </c>
      <c r="K7" s="260"/>
      <c r="L7" s="260"/>
      <c r="M7" s="260"/>
      <c r="N7" s="260"/>
      <c r="O7" s="260"/>
      <c r="P7" s="211"/>
      <c r="Q7" s="261"/>
      <c r="R7" s="208" t="str">
        <f ca="1">IF(ISERROR($V7),"",OFFSET('Smelter Look-up'!$C$4,$V7-4,0)&amp;"")</f>
        <v>EM Vinto</v>
      </c>
      <c r="S7" s="215" t="str">
        <f t="shared" ca="1" si="3"/>
        <v>BO</v>
      </c>
      <c r="T7" s="215" t="str">
        <f ca="1">IF(B7="","",IF(ISERROR(MATCH($J7,SorP!$B$1:$B$6230,0)),"",INDIRECT("'SorP'!$A$"&amp;MATCH($J7,SorP!$B$1:$B$6230,0))))</f>
        <v>BO-O</v>
      </c>
      <c r="U7" s="231"/>
      <c r="V7" s="262">
        <f>IF(C7="",NA(),IF(OR(C7="Smelter not listed",C7="Smelter not yet identified"),MATCH($B7&amp;$D7,'Smelter Look-up'!$J:$J,0),MATCH($B7&amp;$C7,'Smelter Look-up'!$J:$J,0)))</f>
        <v>418</v>
      </c>
      <c r="W7" s="263"/>
      <c r="X7" s="263">
        <f t="shared" si="4"/>
        <v>0</v>
      </c>
      <c r="Y7" s="263"/>
      <c r="Z7" s="263"/>
      <c r="AB7" s="265" t="str">
        <f t="shared" si="5"/>
        <v>TinEM Vinto</v>
      </c>
    </row>
    <row r="8" spans="1:34" s="264" customFormat="1" ht="19.899999999999999" customHeight="1">
      <c r="A8" s="316" t="s">
        <v>769</v>
      </c>
      <c r="B8" s="208" t="s">
        <v>1131</v>
      </c>
      <c r="C8" s="212" t="s">
        <v>815</v>
      </c>
      <c r="D8" s="212" t="s">
        <v>815</v>
      </c>
      <c r="E8" s="208" t="s">
        <v>882</v>
      </c>
      <c r="F8" s="208" t="s">
        <v>769</v>
      </c>
      <c r="G8" s="208" t="s">
        <v>13320</v>
      </c>
      <c r="H8" s="209">
        <v>0</v>
      </c>
      <c r="I8" s="210" t="s">
        <v>1784</v>
      </c>
      <c r="J8" s="210" t="s">
        <v>9580</v>
      </c>
      <c r="K8" s="260"/>
      <c r="L8" s="260"/>
      <c r="M8" s="260"/>
      <c r="N8" s="260"/>
      <c r="O8" s="260"/>
      <c r="P8" s="211"/>
      <c r="Q8" s="261"/>
      <c r="R8" s="208" t="str">
        <f ca="1">IF(ISERROR($V8),"",OFFSET('Smelter Look-up'!$C$4,$V8-4,0)&amp;"")</f>
        <v>Fenix Metals</v>
      </c>
      <c r="S8" s="215" t="str">
        <f t="shared" ca="1" si="3"/>
        <v>PL</v>
      </c>
      <c r="T8" s="215" t="str">
        <f ca="1">IF(B8="","",IF(ISERROR(MATCH($J8,SorP!$B$1:$B$6230,0)),"",INDIRECT("'SorP'!$A$"&amp;MATCH($J8,SorP!$B$1:$B$6230,0))))</f>
        <v>PL-18</v>
      </c>
      <c r="U8" s="231"/>
      <c r="V8" s="262">
        <f>IF(C8="",NA(),IF(OR(C8="Smelter not listed",C8="Smelter not yet identified"),MATCH($B8&amp;$D8,'Smelter Look-up'!$J:$J,0),MATCH($B8&amp;$C8,'Smelter Look-up'!$J:$J,0)))</f>
        <v>427</v>
      </c>
      <c r="W8" s="263"/>
      <c r="X8" s="263">
        <f t="shared" si="4"/>
        <v>0</v>
      </c>
      <c r="Y8" s="263"/>
      <c r="Z8" s="263"/>
      <c r="AB8" s="265" t="str">
        <f t="shared" si="5"/>
        <v>TinFenix Metals</v>
      </c>
    </row>
    <row r="9" spans="1:34" s="264" customFormat="1" ht="19.899999999999999" customHeight="1">
      <c r="A9" s="316" t="s">
        <v>770</v>
      </c>
      <c r="B9" s="208" t="s">
        <v>1131</v>
      </c>
      <c r="C9" s="212" t="s">
        <v>2158</v>
      </c>
      <c r="D9" s="212" t="s">
        <v>2158</v>
      </c>
      <c r="E9" s="208" t="s">
        <v>1100</v>
      </c>
      <c r="F9" s="208" t="s">
        <v>770</v>
      </c>
      <c r="G9" s="208" t="s">
        <v>13320</v>
      </c>
      <c r="H9" s="209">
        <v>0</v>
      </c>
      <c r="I9" s="210" t="s">
        <v>2470</v>
      </c>
      <c r="J9" s="210" t="s">
        <v>13708</v>
      </c>
      <c r="K9" s="260"/>
      <c r="L9" s="260"/>
      <c r="M9" s="260"/>
      <c r="N9" s="260"/>
      <c r="O9" s="260"/>
      <c r="P9" s="211"/>
      <c r="Q9" s="261"/>
      <c r="R9" s="208" t="str">
        <f ca="1">IF(ISERROR($V9),"",OFFSET('Smelter Look-up'!$C$4,$V9-4,0)&amp;"")</f>
        <v>Gejiu Non-Ferrous Metal Processing Co., Ltd.</v>
      </c>
      <c r="S9" s="215" t="str">
        <f t="shared" ca="1" si="3"/>
        <v>CN</v>
      </c>
      <c r="T9" s="215" t="str">
        <f ca="1">IF(B9="","",IF(ISERROR(MATCH($J9,SorP!$B$1:$B$6230,0)),"",INDIRECT("'SorP'!$A$"&amp;MATCH($J9,SorP!$B$1:$B$6230,0))))</f>
        <v>CN-YN</v>
      </c>
      <c r="U9" s="231"/>
      <c r="V9" s="262">
        <f>IF(C9="",NA(),IF(OR(C9="Smelter not listed",C9="Smelter not yet identified"),MATCH($B9&amp;$D9,'Smelter Look-up'!$J:$J,0),MATCH($B9&amp;$C9,'Smelter Look-up'!$J:$J,0)))</f>
        <v>433</v>
      </c>
      <c r="W9" s="263"/>
      <c r="X9" s="263">
        <f t="shared" si="4"/>
        <v>0</v>
      </c>
      <c r="Y9" s="263"/>
      <c r="Z9" s="263"/>
      <c r="AB9" s="265" t="str">
        <f t="shared" si="5"/>
        <v>TinGejiu Non-Ferrous Metal Processing Co., Ltd.</v>
      </c>
    </row>
    <row r="10" spans="1:34" s="264" customFormat="1" ht="19.899999999999999" customHeight="1">
      <c r="A10" s="316" t="s">
        <v>773</v>
      </c>
      <c r="B10" s="208" t="s">
        <v>1131</v>
      </c>
      <c r="C10" s="212" t="s">
        <v>1327</v>
      </c>
      <c r="D10" s="212" t="s">
        <v>1327</v>
      </c>
      <c r="E10" s="208" t="s">
        <v>1100</v>
      </c>
      <c r="F10" s="208" t="s">
        <v>773</v>
      </c>
      <c r="G10" s="208" t="s">
        <v>13320</v>
      </c>
      <c r="H10" s="209">
        <v>0</v>
      </c>
      <c r="I10" s="210" t="s">
        <v>1788</v>
      </c>
      <c r="J10" s="210" t="s">
        <v>13683</v>
      </c>
      <c r="K10" s="260"/>
      <c r="L10" s="260"/>
      <c r="M10" s="260"/>
      <c r="N10" s="260"/>
      <c r="O10" s="260"/>
      <c r="P10" s="211"/>
      <c r="Q10" s="261"/>
      <c r="R10" s="208" t="str">
        <f ca="1">IF(ISERROR($V10),"",OFFSET('Smelter Look-up'!$C$4,$V10-4,0)&amp;"")</f>
        <v>China Tin Group Co., Ltd.</v>
      </c>
      <c r="S10" s="215" t="str">
        <f t="shared" ca="1" si="3"/>
        <v>CN</v>
      </c>
      <c r="T10" s="215" t="str">
        <f ca="1">IF(B10="","",IF(ISERROR(MATCH($J10,SorP!$B$1:$B$6230,0)),"",INDIRECT("'SorP'!$A$"&amp;MATCH($J10,SorP!$B$1:$B$6230,0))))</f>
        <v>CN-GX</v>
      </c>
      <c r="U10" s="231"/>
      <c r="V10" s="262">
        <f>IF(C10="",NA(),IF(OR(C10="Smelter not listed",C10="Smelter not yet identified"),MATCH($B10&amp;$D10,'Smelter Look-up'!$J:$J,0),MATCH($B10&amp;$C10,'Smelter Look-up'!$J:$J,0)))</f>
        <v>402</v>
      </c>
      <c r="W10" s="263"/>
      <c r="X10" s="263">
        <f t="shared" si="4"/>
        <v>0</v>
      </c>
      <c r="Y10" s="263"/>
      <c r="Z10" s="263"/>
      <c r="AB10" s="265" t="str">
        <f t="shared" si="5"/>
        <v>TinChina Tin Group Co., Ltd.</v>
      </c>
    </row>
    <row r="11" spans="1:34" s="264" customFormat="1" ht="19.899999999999999" customHeight="1">
      <c r="A11" s="316" t="s">
        <v>774</v>
      </c>
      <c r="B11" s="208" t="s">
        <v>1131</v>
      </c>
      <c r="C11" s="212" t="s">
        <v>821</v>
      </c>
      <c r="D11" s="212" t="s">
        <v>821</v>
      </c>
      <c r="E11" s="208" t="s">
        <v>1115</v>
      </c>
      <c r="F11" s="208" t="s">
        <v>774</v>
      </c>
      <c r="G11" s="208" t="s">
        <v>13320</v>
      </c>
      <c r="H11" s="209">
        <v>0</v>
      </c>
      <c r="I11" s="210" t="s">
        <v>1793</v>
      </c>
      <c r="J11" s="210" t="s">
        <v>8739</v>
      </c>
      <c r="K11" s="260"/>
      <c r="L11" s="260"/>
      <c r="M11" s="260"/>
      <c r="N11" s="260"/>
      <c r="O11" s="260"/>
      <c r="P11" s="211"/>
      <c r="Q11" s="261"/>
      <c r="R11" s="208" t="str">
        <f ca="1">IF(ISERROR($V11),"",OFFSET('Smelter Look-up'!$C$4,$V11-4,0)&amp;"")</f>
        <v>Malaysia Smelting Corporation (MSC)</v>
      </c>
      <c r="S11" s="215" t="str">
        <f t="shared" ca="1" si="3"/>
        <v>MY</v>
      </c>
      <c r="T11" s="215" t="str">
        <f ca="1">IF(B11="","",IF(ISERROR(MATCH($J11,SorP!$B$1:$B$6230,0)),"",INDIRECT("'SorP'!$A$"&amp;MATCH($J11,SorP!$B$1:$B$6230,0))))</f>
        <v>MY-07</v>
      </c>
      <c r="U11" s="231"/>
      <c r="V11" s="262">
        <f>IF(C11="",NA(),IF(OR(C11="Smelter not listed",C11="Smelter not yet identified"),MATCH($B11&amp;$D11,'Smelter Look-up'!$J:$J,0),MATCH($B11&amp;$C11,'Smelter Look-up'!$J:$J,0)))</f>
        <v>457</v>
      </c>
      <c r="W11" s="263"/>
      <c r="X11" s="263">
        <f t="shared" si="4"/>
        <v>0</v>
      </c>
      <c r="Y11" s="263"/>
      <c r="Z11" s="263"/>
      <c r="AB11" s="265" t="str">
        <f t="shared" si="5"/>
        <v>TinMalaysia Smelting Corporation (MSC)</v>
      </c>
    </row>
    <row r="12" spans="1:34" s="264" customFormat="1" ht="19.899999999999999" customHeight="1">
      <c r="A12" s="316" t="s">
        <v>1794</v>
      </c>
      <c r="B12" s="208" t="s">
        <v>1131</v>
      </c>
      <c r="C12" s="212" t="s">
        <v>2163</v>
      </c>
      <c r="D12" s="212" t="s">
        <v>2163</v>
      </c>
      <c r="E12" s="208" t="s">
        <v>2456</v>
      </c>
      <c r="F12" s="208" t="s">
        <v>1794</v>
      </c>
      <c r="G12" s="208" t="s">
        <v>13320</v>
      </c>
      <c r="H12" s="209">
        <v>0</v>
      </c>
      <c r="I12" s="210" t="s">
        <v>1795</v>
      </c>
      <c r="J12" s="210" t="s">
        <v>1642</v>
      </c>
      <c r="K12" s="260"/>
      <c r="L12" s="260"/>
      <c r="M12" s="260"/>
      <c r="N12" s="260"/>
      <c r="O12" s="260"/>
      <c r="P12" s="211"/>
      <c r="Q12" s="261"/>
      <c r="R12" s="208" t="str">
        <f ca="1">IF(ISERROR($V12),"",OFFSET('Smelter Look-up'!$C$4,$V12-4,0)&amp;"")</f>
        <v>Metallic Resources, Inc.</v>
      </c>
      <c r="S12" s="215" t="str">
        <f t="shared" ca="1" si="3"/>
        <v>US</v>
      </c>
      <c r="T12" s="215" t="str">
        <f ca="1">IF(B12="","",IF(ISERROR(MATCH($J12,SorP!$B$1:$B$6230,0)),"",INDIRECT("'SorP'!$A$"&amp;MATCH($J12,SorP!$B$1:$B$6230,0))))</f>
        <v>US-OH</v>
      </c>
      <c r="U12" s="231"/>
      <c r="V12" s="262">
        <f>IF(C12="",NA(),IF(OR(C12="Smelter not listed",C12="Smelter not yet identified"),MATCH($B12&amp;$D12,'Smelter Look-up'!$J:$J,0),MATCH($B12&amp;$C12,'Smelter Look-up'!$J:$J,0)))</f>
        <v>461</v>
      </c>
      <c r="W12" s="263"/>
      <c r="X12" s="263">
        <f t="shared" si="4"/>
        <v>0</v>
      </c>
      <c r="Y12" s="263"/>
      <c r="Z12" s="263"/>
      <c r="AB12" s="265" t="str">
        <f t="shared" si="5"/>
        <v>TinMetallic Resources, Inc.</v>
      </c>
    </row>
    <row r="13" spans="1:34" s="264" customFormat="1" ht="19.899999999999999" customHeight="1">
      <c r="A13" s="316" t="s">
        <v>775</v>
      </c>
      <c r="B13" s="208" t="s">
        <v>1131</v>
      </c>
      <c r="C13" s="212" t="s">
        <v>12509</v>
      </c>
      <c r="D13" s="212" t="s">
        <v>12509</v>
      </c>
      <c r="E13" s="208" t="s">
        <v>1096</v>
      </c>
      <c r="F13" s="208" t="s">
        <v>775</v>
      </c>
      <c r="G13" s="208" t="s">
        <v>13320</v>
      </c>
      <c r="H13" s="209">
        <v>0</v>
      </c>
      <c r="I13" s="210" t="s">
        <v>1796</v>
      </c>
      <c r="J13" s="210" t="s">
        <v>1682</v>
      </c>
      <c r="K13" s="260"/>
      <c r="L13" s="260"/>
      <c r="M13" s="260"/>
      <c r="N13" s="260"/>
      <c r="O13" s="260"/>
      <c r="P13" s="211"/>
      <c r="Q13" s="261"/>
      <c r="R13" s="208" t="str">
        <f ca="1">IF(ISERROR($V13),"",OFFSET('Smelter Look-up'!$C$4,$V13-4,0)&amp;"")</f>
        <v>Mineracao Taboca S.A.</v>
      </c>
      <c r="S13" s="215" t="str">
        <f t="shared" ca="1" si="3"/>
        <v>BR</v>
      </c>
      <c r="T13" s="215" t="str">
        <f ca="1">IF(B13="","",IF(ISERROR(MATCH($J13,SorP!$B$1:$B$6230,0)),"",INDIRECT("'SorP'!$A$"&amp;MATCH($J13,SorP!$B$1:$B$6230,0))))</f>
        <v>BR-SP</v>
      </c>
      <c r="U13" s="231"/>
      <c r="V13" s="262">
        <f>IF(C13="",NA(),IF(OR(C13="Smelter not listed",C13="Smelter not yet identified"),MATCH($B13&amp;$D13,'Smelter Look-up'!$J:$J,0),MATCH($B13&amp;$C13,'Smelter Look-up'!$J:$J,0)))</f>
        <v>464</v>
      </c>
      <c r="W13" s="263"/>
      <c r="X13" s="263">
        <f t="shared" si="4"/>
        <v>0</v>
      </c>
      <c r="Y13" s="263"/>
      <c r="Z13" s="263"/>
      <c r="AB13" s="265" t="str">
        <f t="shared" si="5"/>
        <v>TinMineracao Taboca S.A.</v>
      </c>
    </row>
    <row r="14" spans="1:34" s="264" customFormat="1" ht="19.899999999999999" customHeight="1">
      <c r="A14" s="316" t="s">
        <v>776</v>
      </c>
      <c r="B14" s="208" t="s">
        <v>1131</v>
      </c>
      <c r="C14" s="212" t="s">
        <v>1034</v>
      </c>
      <c r="D14" s="212" t="s">
        <v>1034</v>
      </c>
      <c r="E14" s="208" t="s">
        <v>880</v>
      </c>
      <c r="F14" s="208" t="s">
        <v>776</v>
      </c>
      <c r="G14" s="208" t="s">
        <v>13320</v>
      </c>
      <c r="H14" s="209">
        <v>0</v>
      </c>
      <c r="I14" s="210" t="s">
        <v>1798</v>
      </c>
      <c r="J14" s="210" t="s">
        <v>9194</v>
      </c>
      <c r="K14" s="260"/>
      <c r="L14" s="260"/>
      <c r="M14" s="260"/>
      <c r="N14" s="260"/>
      <c r="O14" s="260"/>
      <c r="P14" s="211"/>
      <c r="Q14" s="261"/>
      <c r="R14" s="208" t="str">
        <f ca="1">IF(ISERROR($V14),"",OFFSET('Smelter Look-up'!$C$4,$V14-4,0)&amp;"")</f>
        <v>Minsur</v>
      </c>
      <c r="S14" s="215" t="str">
        <f t="shared" ca="1" si="3"/>
        <v>PE</v>
      </c>
      <c r="T14" s="215" t="str">
        <f ca="1">IF(B14="","",IF(ISERROR(MATCH($J14,SorP!$B$1:$B$6230,0)),"",INDIRECT("'SorP'!$A$"&amp;MATCH($J14,SorP!$B$1:$B$6230,0))))</f>
        <v>PE-ICA</v>
      </c>
      <c r="U14" s="231"/>
      <c r="V14" s="262">
        <f>IF(C14="",NA(),IF(OR(C14="Smelter not listed",C14="Smelter not yet identified"),MATCH($B14&amp;$D14,'Smelter Look-up'!$J:$J,0),MATCH($B14&amp;$C14,'Smelter Look-up'!$J:$J,0)))</f>
        <v>468</v>
      </c>
      <c r="W14" s="263"/>
      <c r="X14" s="263">
        <f t="shared" si="4"/>
        <v>0</v>
      </c>
      <c r="Y14" s="263"/>
      <c r="Z14" s="263"/>
      <c r="AB14" s="265" t="str">
        <f t="shared" si="5"/>
        <v>TinMinsur</v>
      </c>
    </row>
    <row r="15" spans="1:34" s="264" customFormat="1" ht="19.899999999999999" customHeight="1">
      <c r="A15" s="316" t="s">
        <v>777</v>
      </c>
      <c r="B15" s="208" t="s">
        <v>1131</v>
      </c>
      <c r="C15" s="212" t="s">
        <v>1164</v>
      </c>
      <c r="D15" s="212" t="s">
        <v>1164</v>
      </c>
      <c r="E15" s="208" t="s">
        <v>1108</v>
      </c>
      <c r="F15" s="208" t="s">
        <v>777</v>
      </c>
      <c r="G15" s="208" t="s">
        <v>13320</v>
      </c>
      <c r="H15" s="209">
        <v>0</v>
      </c>
      <c r="I15" s="210" t="s">
        <v>1548</v>
      </c>
      <c r="J15" s="210" t="s">
        <v>1548</v>
      </c>
      <c r="K15" s="260"/>
      <c r="L15" s="260"/>
      <c r="M15" s="260"/>
      <c r="N15" s="260"/>
      <c r="O15" s="260"/>
      <c r="P15" s="211"/>
      <c r="Q15" s="261"/>
      <c r="R15" s="208" t="str">
        <f ca="1">IF(ISERROR($V15),"",OFFSET('Smelter Look-up'!$C$4,$V15-4,0)&amp;"")</f>
        <v>Mitsubishi Materials Corporation</v>
      </c>
      <c r="S15" s="215" t="str">
        <f t="shared" ca="1" si="3"/>
        <v>JP</v>
      </c>
      <c r="T15" s="215" t="str">
        <f ca="1">IF(B15="","",IF(ISERROR(MATCH($J15,SorP!$B$1:$B$6230,0)),"",INDIRECT("'SorP'!$A$"&amp;MATCH($J15,SorP!$B$1:$B$6230,0))))</f>
        <v>JP-13</v>
      </c>
      <c r="U15" s="231"/>
      <c r="V15" s="262">
        <f>IF(C15="",NA(),IF(OR(C15="Smelter not listed",C15="Smelter not yet identified"),MATCH($B15&amp;$D15,'Smelter Look-up'!$J:$J,0),MATCH($B15&amp;$C15,'Smelter Look-up'!$J:$J,0)))</f>
        <v>469</v>
      </c>
      <c r="W15" s="263"/>
      <c r="X15" s="263">
        <f t="shared" si="4"/>
        <v>0</v>
      </c>
      <c r="Y15" s="263"/>
      <c r="Z15" s="263"/>
      <c r="AB15" s="265" t="str">
        <f t="shared" si="5"/>
        <v>TinMitsubishi Materials Corporation</v>
      </c>
    </row>
    <row r="16" spans="1:34" s="264" customFormat="1" ht="19.899999999999999" customHeight="1">
      <c r="A16" s="316" t="s">
        <v>780</v>
      </c>
      <c r="B16" s="208" t="s">
        <v>1131</v>
      </c>
      <c r="C16" s="212" t="s">
        <v>13885</v>
      </c>
      <c r="D16" s="212" t="s">
        <v>13885</v>
      </c>
      <c r="E16" s="208" t="s">
        <v>2454</v>
      </c>
      <c r="F16" s="208" t="s">
        <v>780</v>
      </c>
      <c r="G16" s="208" t="s">
        <v>13320</v>
      </c>
      <c r="H16" s="209">
        <v>0</v>
      </c>
      <c r="I16" s="210" t="s">
        <v>1781</v>
      </c>
      <c r="J16" s="210" t="s">
        <v>1781</v>
      </c>
      <c r="K16" s="260"/>
      <c r="L16" s="260"/>
      <c r="M16" s="260"/>
      <c r="N16" s="260"/>
      <c r="O16" s="260"/>
      <c r="P16" s="211"/>
      <c r="Q16" s="261"/>
      <c r="R16" s="208" t="str">
        <f ca="1">IF(ISERROR($V16),"",OFFSET('Smelter Look-up'!$C$4,$V16-4,0)&amp;"")</f>
        <v>Operaciones Metalurgicas S.A.</v>
      </c>
      <c r="S16" s="215" t="str">
        <f t="shared" ca="1" si="3"/>
        <v>BO</v>
      </c>
      <c r="T16" s="215" t="str">
        <f ca="1">IF(B16="","",IF(ISERROR(MATCH($J16,SorP!$B$1:$B$6230,0)),"",INDIRECT("'SorP'!$A$"&amp;MATCH($J16,SorP!$B$1:$B$6230,0))))</f>
        <v>BO-O</v>
      </c>
      <c r="U16" s="231"/>
      <c r="V16" s="262">
        <f>IF(C16="",NA(),IF(OR(C16="Smelter not listed",C16="Smelter not yet identified"),MATCH($B16&amp;$D16,'Smelter Look-up'!$J:$J,0),MATCH($B16&amp;$C16,'Smelter Look-up'!$J:$J,0)))</f>
        <v>479</v>
      </c>
      <c r="W16" s="263"/>
      <c r="X16" s="263">
        <f t="shared" si="4"/>
        <v>0</v>
      </c>
      <c r="Y16" s="263"/>
      <c r="Z16" s="263"/>
      <c r="AB16" s="265" t="str">
        <f t="shared" si="5"/>
        <v>TinOperaciones Metalurgicas S.A.</v>
      </c>
    </row>
    <row r="17" spans="1:28" s="264" customFormat="1" ht="19.899999999999999" customHeight="1">
      <c r="A17" s="316" t="s">
        <v>781</v>
      </c>
      <c r="B17" s="208" t="s">
        <v>1131</v>
      </c>
      <c r="C17" s="212" t="s">
        <v>844</v>
      </c>
      <c r="D17" s="212" t="s">
        <v>844</v>
      </c>
      <c r="E17" s="208" t="s">
        <v>1105</v>
      </c>
      <c r="F17" s="208" t="s">
        <v>781</v>
      </c>
      <c r="G17" s="208" t="s">
        <v>13320</v>
      </c>
      <c r="H17" s="209">
        <v>0</v>
      </c>
      <c r="I17" s="210" t="s">
        <v>1779</v>
      </c>
      <c r="J17" s="210" t="s">
        <v>12931</v>
      </c>
      <c r="K17" s="260"/>
      <c r="L17" s="260"/>
      <c r="M17" s="260"/>
      <c r="N17" s="260"/>
      <c r="O17" s="260"/>
      <c r="P17" s="211"/>
      <c r="Q17" s="261"/>
      <c r="R17" s="208" t="str">
        <f ca="1">IF(ISERROR($V17),"",OFFSET('Smelter Look-up'!$C$4,$V17-4,0)&amp;"")</f>
        <v>PT Artha Cipta Langgeng</v>
      </c>
      <c r="S17" s="215" t="str">
        <f t="shared" ca="1" si="3"/>
        <v>ID</v>
      </c>
      <c r="T17" s="215" t="str">
        <f ca="1">IF(B17="","",IF(ISERROR(MATCH($J17,SorP!$B$1:$B$6230,0)),"",INDIRECT("'SorP'!$A$"&amp;MATCH($J17,SorP!$B$1:$B$6230,0))))</f>
        <v>ID-BB</v>
      </c>
      <c r="U17" s="231"/>
      <c r="V17" s="262">
        <f>IF(C17="",NA(),IF(OR(C17="Smelter not listed",C17="Smelter not yet identified"),MATCH($B17&amp;$D17,'Smelter Look-up'!$J:$J,0),MATCH($B17&amp;$C17,'Smelter Look-up'!$J:$J,0)))</f>
        <v>484</v>
      </c>
      <c r="W17" s="263"/>
      <c r="X17" s="263">
        <f t="shared" si="4"/>
        <v>0</v>
      </c>
      <c r="Y17" s="263"/>
      <c r="Z17" s="263"/>
      <c r="AB17" s="265" t="str">
        <f t="shared" si="5"/>
        <v>TinPT Artha Cipta Langgeng</v>
      </c>
    </row>
    <row r="18" spans="1:28" s="264" customFormat="1" ht="19.899999999999999" customHeight="1">
      <c r="A18" s="207" t="s">
        <v>783</v>
      </c>
      <c r="B18" s="208" t="s">
        <v>1131</v>
      </c>
      <c r="C18" s="212" t="s">
        <v>2171</v>
      </c>
      <c r="D18" s="212" t="s">
        <v>2171</v>
      </c>
      <c r="E18" s="208" t="s">
        <v>1105</v>
      </c>
      <c r="F18" s="208" t="s">
        <v>783</v>
      </c>
      <c r="G18" s="208" t="s">
        <v>13320</v>
      </c>
      <c r="H18" s="209">
        <v>0</v>
      </c>
      <c r="I18" s="210" t="s">
        <v>1779</v>
      </c>
      <c r="J18" s="210" t="s">
        <v>12931</v>
      </c>
      <c r="K18" s="260"/>
      <c r="L18" s="260"/>
      <c r="M18" s="260"/>
      <c r="N18" s="260"/>
      <c r="O18" s="260"/>
      <c r="P18" s="211"/>
      <c r="Q18" s="261"/>
      <c r="R18" s="208" t="str">
        <f ca="1">IF(ISERROR($V18),"",OFFSET('Smelter Look-up'!$C$4,$V18-4,0)&amp;"")</f>
        <v>PT Refined Bangka Tin</v>
      </c>
      <c r="S18" s="215" t="str">
        <f t="shared" ca="1" si="3"/>
        <v>ID</v>
      </c>
      <c r="T18" s="215" t="str">
        <f ca="1">IF(B18="","",IF(ISERROR(MATCH($J18,SorP!$B$1:$B$6230,0)),"",INDIRECT("'SorP'!$A$"&amp;MATCH($J18,SorP!$B$1:$B$6230,0))))</f>
        <v>ID-BB</v>
      </c>
      <c r="U18" s="231"/>
      <c r="V18" s="262">
        <f>IF(C18="",NA(),IF(OR(C18="Smelter not listed",C18="Smelter not yet identified"),MATCH($B18&amp;$D18,'Smelter Look-up'!$J:$J,0),MATCH($B18&amp;$C18,'Smelter Look-up'!$J:$J,0)))</f>
        <v>502</v>
      </c>
      <c r="W18" s="263"/>
      <c r="X18" s="263">
        <f t="shared" si="4"/>
        <v>0</v>
      </c>
      <c r="Y18" s="263"/>
      <c r="Z18" s="263"/>
      <c r="AB18" s="265" t="str">
        <f t="shared" si="5"/>
        <v>TinPT Refined Bangka Tin</v>
      </c>
    </row>
    <row r="19" spans="1:28" s="264" customFormat="1" ht="51">
      <c r="A19" s="207" t="s">
        <v>784</v>
      </c>
      <c r="B19" s="208" t="s">
        <v>1131</v>
      </c>
      <c r="C19" s="212" t="s">
        <v>13881</v>
      </c>
      <c r="D19" s="212" t="s">
        <v>13881</v>
      </c>
      <c r="E19" s="208" t="s">
        <v>1105</v>
      </c>
      <c r="F19" s="208" t="s">
        <v>784</v>
      </c>
      <c r="G19" s="208" t="s">
        <v>13320</v>
      </c>
      <c r="H19" s="209">
        <v>0</v>
      </c>
      <c r="I19" s="210" t="s">
        <v>1807</v>
      </c>
      <c r="J19" s="210" t="s">
        <v>12931</v>
      </c>
      <c r="K19" s="260"/>
      <c r="L19" s="260"/>
      <c r="M19" s="260"/>
      <c r="N19" s="260"/>
      <c r="O19" s="260"/>
      <c r="P19" s="211"/>
      <c r="Q19" s="261"/>
      <c r="R19" s="208" t="str">
        <f ca="1">IF(ISERROR($V19),"",OFFSET('Smelter Look-up'!$C$4,$V19-4,0)&amp;"")</f>
        <v>PT Timah Tbk Mentok</v>
      </c>
      <c r="S19" s="215" t="str">
        <f t="shared" ca="1" si="3"/>
        <v>ID</v>
      </c>
      <c r="T19" s="215" t="str">
        <f ca="1">IF(B19="","",IF(ISERROR(MATCH($J19,SorP!$B$1:$B$6230,0)),"",INDIRECT("'SorP'!$A$"&amp;MATCH($J19,SorP!$B$1:$B$6230,0))))</f>
        <v>ID-BB</v>
      </c>
      <c r="U19" s="231"/>
      <c r="V19" s="262">
        <f>IF(C19="",NA(),IF(OR(C19="Smelter not listed",C19="Smelter not yet identified"),MATCH($B19&amp;$D19,'Smelter Look-up'!$J:$J,0),MATCH($B19&amp;$C19,'Smelter Look-up'!$J:$J,0)))</f>
        <v>509</v>
      </c>
      <c r="W19" s="263"/>
      <c r="X19" s="263">
        <f t="shared" si="4"/>
        <v>0</v>
      </c>
      <c r="Y19" s="263"/>
      <c r="Z19" s="263"/>
      <c r="AB19" s="265" t="str">
        <f t="shared" si="5"/>
        <v>TinPT Timah Tbk Mentok</v>
      </c>
    </row>
    <row r="20" spans="1:28" s="264" customFormat="1" ht="25.5">
      <c r="A20" s="207" t="s">
        <v>786</v>
      </c>
      <c r="B20" s="208" t="s">
        <v>1131</v>
      </c>
      <c r="C20" s="212" t="s">
        <v>785</v>
      </c>
      <c r="D20" s="212" t="s">
        <v>785</v>
      </c>
      <c r="E20" s="208" t="s">
        <v>2455</v>
      </c>
      <c r="F20" s="208" t="s">
        <v>786</v>
      </c>
      <c r="G20" s="208" t="s">
        <v>13320</v>
      </c>
      <c r="H20" s="209">
        <v>0</v>
      </c>
      <c r="I20" s="210" t="s">
        <v>13915</v>
      </c>
      <c r="J20" s="210" t="s">
        <v>1710</v>
      </c>
      <c r="K20" s="260"/>
      <c r="L20" s="260"/>
      <c r="M20" s="260"/>
      <c r="N20" s="260"/>
      <c r="O20" s="260"/>
      <c r="P20" s="211"/>
      <c r="Q20" s="261"/>
      <c r="R20" s="208" t="str">
        <f ca="1">IF(ISERROR($V20),"",OFFSET('Smelter Look-up'!$C$4,$V20-4,0)&amp;"")</f>
        <v>Rui Da Hung</v>
      </c>
      <c r="S20" s="215" t="str">
        <f t="shared" ca="1" si="3"/>
        <v>TW</v>
      </c>
      <c r="T20" s="215" t="str">
        <f ca="1">IF(B20="","",IF(ISERROR(MATCH($J20,SorP!$B$1:$B$6230,0)),"",INDIRECT("'SorP'!$A$"&amp;MATCH($J20,SorP!$B$1:$B$6230,0))))</f>
        <v>TW-TAO</v>
      </c>
      <c r="U20" s="231"/>
      <c r="V20" s="262">
        <f>IF(C20="",NA(),IF(OR(C20="Smelter not listed",C20="Smelter not yet identified"),MATCH($B20&amp;$D20,'Smelter Look-up'!$J:$J,0),MATCH($B20&amp;$C20,'Smelter Look-up'!$J:$J,0)))</f>
        <v>516</v>
      </c>
      <c r="W20" s="263"/>
      <c r="X20" s="263">
        <f t="shared" si="4"/>
        <v>0</v>
      </c>
      <c r="Y20" s="263"/>
      <c r="Z20" s="263"/>
      <c r="AB20" s="265" t="str">
        <f t="shared" si="5"/>
        <v>TinRui Da Hung</v>
      </c>
    </row>
    <row r="21" spans="1:28" s="264" customFormat="1" ht="25.5">
      <c r="A21" s="207" t="s">
        <v>788</v>
      </c>
      <c r="B21" s="208" t="s">
        <v>1131</v>
      </c>
      <c r="C21" s="212" t="s">
        <v>1031</v>
      </c>
      <c r="D21" s="212" t="s">
        <v>1031</v>
      </c>
      <c r="E21" s="208" t="s">
        <v>888</v>
      </c>
      <c r="F21" s="208" t="s">
        <v>788</v>
      </c>
      <c r="G21" s="208" t="s">
        <v>13320</v>
      </c>
      <c r="H21" s="209">
        <v>0</v>
      </c>
      <c r="I21" s="210" t="s">
        <v>1809</v>
      </c>
      <c r="J21" s="210" t="s">
        <v>1810</v>
      </c>
      <c r="K21" s="260"/>
      <c r="L21" s="260"/>
      <c r="M21" s="260"/>
      <c r="N21" s="260"/>
      <c r="O21" s="260"/>
      <c r="P21" s="211"/>
      <c r="Q21" s="261"/>
      <c r="R21" s="208" t="str">
        <f ca="1">IF(ISERROR($V21),"",OFFSET('Smelter Look-up'!$C$4,$V21-4,0)&amp;"")</f>
        <v>Thaisarco</v>
      </c>
      <c r="S21" s="215" t="str">
        <f t="shared" ca="1" si="3"/>
        <v>TH</v>
      </c>
      <c r="T21" s="215" t="str">
        <f ca="1">IF(B21="","",IF(ISERROR(MATCH($J21,SorP!$B$1:$B$6230,0)),"",INDIRECT("'SorP'!$A$"&amp;MATCH($J21,SorP!$B$1:$B$6230,0))))</f>
        <v>TH-83</v>
      </c>
      <c r="U21" s="231"/>
      <c r="V21" s="262">
        <f>IF(C21="",NA(),IF(OR(C21="Smelter not listed",C21="Smelter not yet identified"),MATCH($B21&amp;$D21,'Smelter Look-up'!$J:$J,0),MATCH($B21&amp;$C21,'Smelter Look-up'!$J:$J,0)))</f>
        <v>523</v>
      </c>
      <c r="W21" s="263"/>
      <c r="X21" s="263">
        <f t="shared" si="4"/>
        <v>0</v>
      </c>
      <c r="Y21" s="263"/>
      <c r="Z21" s="263"/>
      <c r="AB21" s="265" t="str">
        <f t="shared" si="5"/>
        <v>TinThaisarco</v>
      </c>
    </row>
    <row r="22" spans="1:28" s="264" customFormat="1" ht="76.5">
      <c r="A22" s="207" t="s">
        <v>789</v>
      </c>
      <c r="B22" s="208" t="s">
        <v>1131</v>
      </c>
      <c r="C22" s="212" t="s">
        <v>2556</v>
      </c>
      <c r="D22" s="212" t="s">
        <v>2556</v>
      </c>
      <c r="E22" s="208" t="s">
        <v>1096</v>
      </c>
      <c r="F22" s="208" t="s">
        <v>789</v>
      </c>
      <c r="G22" s="208" t="s">
        <v>13320</v>
      </c>
      <c r="H22" s="209">
        <v>0</v>
      </c>
      <c r="I22" s="210" t="s">
        <v>1778</v>
      </c>
      <c r="J22" s="210" t="s">
        <v>1782</v>
      </c>
      <c r="K22" s="260"/>
      <c r="L22" s="260"/>
      <c r="M22" s="260"/>
      <c r="N22" s="260"/>
      <c r="O22" s="260"/>
      <c r="P22" s="211"/>
      <c r="Q22" s="261"/>
      <c r="R22" s="208" t="str">
        <f ca="1">IF(ISERROR($V22),"",OFFSET('Smelter Look-up'!$C$4,$V22-4,0)&amp;"")</f>
        <v>White Solder Metalurgia e Mineracao Ltda.</v>
      </c>
      <c r="S22" s="215" t="str">
        <f t="shared" ca="1" si="3"/>
        <v>BR</v>
      </c>
      <c r="T22" s="215" t="str">
        <f ca="1">IF(B22="","",IF(ISERROR(MATCH($J22,SorP!$B$1:$B$6230,0)),"",INDIRECT("'SorP'!$A$"&amp;MATCH($J22,SorP!$B$1:$B$6230,0))))</f>
        <v>BR-RO</v>
      </c>
      <c r="U22" s="231"/>
      <c r="V22" s="262">
        <f>IF(C22="",NA(),IF(OR(C22="Smelter not listed",C22="Smelter not yet identified"),MATCH($B22&amp;$D22,'Smelter Look-up'!$J:$J,0),MATCH($B22&amp;$C22,'Smelter Look-up'!$J:$J,0)))</f>
        <v>532</v>
      </c>
      <c r="W22" s="263"/>
      <c r="X22" s="263">
        <f t="shared" si="4"/>
        <v>0</v>
      </c>
      <c r="Y22" s="263"/>
      <c r="Z22" s="263"/>
      <c r="AB22" s="265" t="str">
        <f t="shared" si="5"/>
        <v>TinWhite Solder Metalurgia e Mineracao Ltda.</v>
      </c>
    </row>
    <row r="23" spans="1:28" s="264" customFormat="1" ht="102">
      <c r="A23" s="207" t="s">
        <v>790</v>
      </c>
      <c r="B23" s="208" t="s">
        <v>1131</v>
      </c>
      <c r="C23" s="212" t="s">
        <v>2181</v>
      </c>
      <c r="D23" s="212" t="s">
        <v>2181</v>
      </c>
      <c r="E23" s="208" t="s">
        <v>1100</v>
      </c>
      <c r="F23" s="208" t="s">
        <v>790</v>
      </c>
      <c r="G23" s="208" t="s">
        <v>13320</v>
      </c>
      <c r="H23" s="209">
        <v>0</v>
      </c>
      <c r="I23" s="210" t="s">
        <v>2470</v>
      </c>
      <c r="J23" s="210" t="s">
        <v>13708</v>
      </c>
      <c r="K23" s="260"/>
      <c r="L23" s="260"/>
      <c r="M23" s="260"/>
      <c r="N23" s="260"/>
      <c r="O23" s="260"/>
      <c r="P23" s="211"/>
      <c r="Q23" s="261"/>
      <c r="R23" s="208" t="str">
        <f ca="1">IF(ISERROR($V23),"",OFFSET('Smelter Look-up'!$C$4,$V23-4,0)&amp;"")</f>
        <v>Yunnan Chengfeng Non-ferrous Metals Co., Ltd.</v>
      </c>
      <c r="S23" s="215" t="str">
        <f t="shared" ca="1" si="3"/>
        <v>CN</v>
      </c>
      <c r="T23" s="215" t="str">
        <f ca="1">IF(B23="","",IF(ISERROR(MATCH($J23,SorP!$B$1:$B$6230,0)),"",INDIRECT("'SorP'!$A$"&amp;MATCH($J23,SorP!$B$1:$B$6230,0))))</f>
        <v>CN-YN</v>
      </c>
      <c r="U23" s="231"/>
      <c r="V23" s="262">
        <f>IF(C23="",NA(),IF(OR(C23="Smelter not listed",C23="Smelter not yet identified"),MATCH($B23&amp;$D23,'Smelter Look-up'!$J:$J,0),MATCH($B23&amp;$C23,'Smelter Look-up'!$J:$J,0)))</f>
        <v>540</v>
      </c>
      <c r="W23" s="263"/>
      <c r="X23" s="263">
        <f t="shared" si="4"/>
        <v>0</v>
      </c>
      <c r="Y23" s="263"/>
      <c r="Z23" s="263"/>
      <c r="AB23" s="265" t="str">
        <f t="shared" si="5"/>
        <v>TinYunnan Chengfeng Non-ferrous Metals Co., Ltd.</v>
      </c>
    </row>
    <row r="24" spans="1:28" s="264" customFormat="1" ht="63.75">
      <c r="A24" s="207" t="s">
        <v>1404</v>
      </c>
      <c r="B24" s="208" t="s">
        <v>1131</v>
      </c>
      <c r="C24" s="212" t="s">
        <v>1403</v>
      </c>
      <c r="D24" s="212" t="s">
        <v>1403</v>
      </c>
      <c r="E24" s="208" t="s">
        <v>1105</v>
      </c>
      <c r="F24" s="208" t="s">
        <v>1404</v>
      </c>
      <c r="G24" s="208" t="s">
        <v>13320</v>
      </c>
      <c r="H24" s="209">
        <v>0</v>
      </c>
      <c r="I24" s="210" t="s">
        <v>1779</v>
      </c>
      <c r="J24" s="210" t="s">
        <v>12931</v>
      </c>
      <c r="K24" s="260"/>
      <c r="L24" s="260"/>
      <c r="M24" s="260"/>
      <c r="N24" s="260"/>
      <c r="O24" s="260"/>
      <c r="P24" s="211"/>
      <c r="Q24" s="261"/>
      <c r="R24" s="208" t="str">
        <f ca="1">IF(ISERROR($V24),"",OFFSET('Smelter Look-up'!$C$4,$V24-4,0)&amp;"")</f>
        <v>PT ATD Makmur Mandiri Jaya</v>
      </c>
      <c r="S24" s="215" t="str">
        <f t="shared" ca="1" si="3"/>
        <v>ID</v>
      </c>
      <c r="T24" s="215" t="str">
        <f ca="1">IF(B24="","",IF(ISERROR(MATCH($J24,SorP!$B$1:$B$6230,0)),"",INDIRECT("'SorP'!$A$"&amp;MATCH($J24,SorP!$B$1:$B$6230,0))))</f>
        <v>ID-BB</v>
      </c>
      <c r="U24" s="231"/>
      <c r="V24" s="262">
        <f>IF(C24="",NA(),IF(OR(C24="Smelter not listed",C24="Smelter not yet identified"),MATCH($B24&amp;$D24,'Smelter Look-up'!$J:$J,0),MATCH($B24&amp;$C24,'Smelter Look-up'!$J:$J,0)))</f>
        <v>485</v>
      </c>
      <c r="W24" s="263"/>
      <c r="X24" s="263">
        <f t="shared" si="4"/>
        <v>0</v>
      </c>
      <c r="Y24" s="263"/>
      <c r="Z24" s="263"/>
      <c r="AB24" s="265" t="str">
        <f t="shared" si="5"/>
        <v>TinPT ATD Makmur Mandiri Jaya</v>
      </c>
    </row>
    <row r="25" spans="1:28" s="264" customFormat="1" ht="51">
      <c r="A25" s="207" t="s">
        <v>1829</v>
      </c>
      <c r="B25" s="208" t="s">
        <v>1131</v>
      </c>
      <c r="C25" s="212" t="s">
        <v>13012</v>
      </c>
      <c r="D25" s="212" t="s">
        <v>13012</v>
      </c>
      <c r="E25" s="208" t="s">
        <v>1095</v>
      </c>
      <c r="F25" s="208" t="s">
        <v>1829</v>
      </c>
      <c r="G25" s="208" t="s">
        <v>13320</v>
      </c>
      <c r="H25" s="209">
        <v>0</v>
      </c>
      <c r="I25" s="210" t="s">
        <v>1830</v>
      </c>
      <c r="J25" s="210" t="s">
        <v>3177</v>
      </c>
      <c r="K25" s="260"/>
      <c r="L25" s="260"/>
      <c r="M25" s="260"/>
      <c r="N25" s="260"/>
      <c r="O25" s="260"/>
      <c r="P25" s="211"/>
      <c r="Q25" s="261"/>
      <c r="R25" s="208" t="str">
        <f ca="1">IF(ISERROR($V25),"",OFFSET('Smelter Look-up'!$C$4,$V25-4,0)&amp;"")</f>
        <v>Metallo Belgium N.V.</v>
      </c>
      <c r="S25" s="215" t="str">
        <f t="shared" ca="1" si="3"/>
        <v>BE</v>
      </c>
      <c r="T25" s="215" t="str">
        <f ca="1">IF(B25="","",IF(ISERROR(MATCH($J25,SorP!$B$1:$B$6230,0)),"",INDIRECT("'SorP'!$A$"&amp;MATCH($J25,SorP!$B$1:$B$6230,0))))</f>
        <v>BE-VAN</v>
      </c>
      <c r="U25" s="231"/>
      <c r="V25" s="262">
        <f>IF(C25="",NA(),IF(OR(C25="Smelter not listed",C25="Smelter not yet identified"),MATCH($B25&amp;$D25,'Smelter Look-up'!$J:$J,0),MATCH($B25&amp;$C25,'Smelter Look-up'!$J:$J,0)))</f>
        <v>462</v>
      </c>
      <c r="W25" s="263"/>
      <c r="X25" s="263">
        <f t="shared" si="4"/>
        <v>0</v>
      </c>
      <c r="Y25" s="263"/>
      <c r="Z25" s="263"/>
      <c r="AB25" s="265" t="str">
        <f t="shared" si="5"/>
        <v>TinMetallo Belgium N.V.</v>
      </c>
    </row>
    <row r="26" spans="1:28" s="264" customFormat="1" ht="102">
      <c r="A26" s="207" t="s">
        <v>2553</v>
      </c>
      <c r="B26" s="208" t="s">
        <v>1131</v>
      </c>
      <c r="C26" s="212" t="s">
        <v>2552</v>
      </c>
      <c r="D26" s="212" t="s">
        <v>2552</v>
      </c>
      <c r="E26" s="208" t="s">
        <v>1100</v>
      </c>
      <c r="F26" s="208" t="s">
        <v>2553</v>
      </c>
      <c r="G26" s="208" t="s">
        <v>13320</v>
      </c>
      <c r="H26" s="209">
        <v>0</v>
      </c>
      <c r="I26" s="210" t="s">
        <v>1838</v>
      </c>
      <c r="J26" s="210" t="s">
        <v>13704</v>
      </c>
      <c r="K26" s="260"/>
      <c r="L26" s="260"/>
      <c r="M26" s="260"/>
      <c r="N26" s="260"/>
      <c r="O26" s="260"/>
      <c r="P26" s="211"/>
      <c r="Q26" s="261"/>
      <c r="R26" s="208" t="str">
        <f ca="1">IF(ISERROR($V26),"",OFFSET('Smelter Look-up'!$C$4,$V26-4,0)&amp;"")</f>
        <v>Guangdong Hanhe Non-Ferrous Metal Co., Ltd.</v>
      </c>
      <c r="S26" s="215" t="str">
        <f t="shared" ca="1" si="3"/>
        <v>CN</v>
      </c>
      <c r="T26" s="215" t="str">
        <f ca="1">IF(B26="","",IF(ISERROR(MATCH($J26,SorP!$B$1:$B$6230,0)),"",INDIRECT("'SorP'!$A$"&amp;MATCH($J26,SorP!$B$1:$B$6230,0))))</f>
        <v>CN-GD</v>
      </c>
      <c r="U26" s="231"/>
      <c r="V26" s="262">
        <f>IF(C26="",NA(),IF(OR(C26="Smelter not listed",C26="Smelter not yet identified"),MATCH($B26&amp;$D26,'Smelter Look-up'!$J:$J,0),MATCH($B26&amp;$C26,'Smelter Look-up'!$J:$J,0)))</f>
        <v>439</v>
      </c>
      <c r="W26" s="263"/>
      <c r="X26" s="263">
        <f t="shared" si="4"/>
        <v>0</v>
      </c>
      <c r="Y26" s="263"/>
      <c r="Z26" s="263"/>
      <c r="AB26" s="265" t="str">
        <f t="shared" si="5"/>
        <v>TinGuangdong Hanhe Non-Ferrous Metal Co., Ltd.</v>
      </c>
    </row>
    <row r="27" spans="1:28" s="264" customFormat="1" ht="51">
      <c r="A27" s="207" t="s">
        <v>13264</v>
      </c>
      <c r="B27" s="208" t="s">
        <v>1131</v>
      </c>
      <c r="C27" s="212" t="s">
        <v>13263</v>
      </c>
      <c r="D27" s="212" t="s">
        <v>13263</v>
      </c>
      <c r="E27" s="208" t="s">
        <v>2456</v>
      </c>
      <c r="F27" s="208" t="s">
        <v>13264</v>
      </c>
      <c r="G27" s="208" t="s">
        <v>13320</v>
      </c>
      <c r="H27" s="209">
        <v>0</v>
      </c>
      <c r="I27" s="210" t="s">
        <v>13265</v>
      </c>
      <c r="J27" s="210" t="s">
        <v>1748</v>
      </c>
      <c r="K27" s="260"/>
      <c r="L27" s="260"/>
      <c r="M27" s="260"/>
      <c r="N27" s="260"/>
      <c r="O27" s="260"/>
      <c r="P27" s="211"/>
      <c r="Q27" s="261"/>
      <c r="R27" s="208" t="str">
        <f ca="1">IF(ISERROR($V27),"",OFFSET('Smelter Look-up'!$C$4,$V27-4,0)&amp;"")</f>
        <v>Tin Technology &amp; Refining</v>
      </c>
      <c r="S27" s="215" t="str">
        <f t="shared" ca="1" si="3"/>
        <v>US</v>
      </c>
      <c r="T27" s="215" t="str">
        <f ca="1">IF(B27="","",IF(ISERROR(MATCH($J27,SorP!$B$1:$B$6230,0)),"",INDIRECT("'SorP'!$A$"&amp;MATCH($J27,SorP!$B$1:$B$6230,0))))</f>
        <v>US-PA</v>
      </c>
      <c r="U27" s="231"/>
      <c r="V27" s="262">
        <f>IF(C27="",NA(),IF(OR(C27="Smelter not listed",C27="Smelter not yet identified"),MATCH($B27&amp;$D27,'Smelter Look-up'!$J:$J,0),MATCH($B27&amp;$C27,'Smelter Look-up'!$J:$J,0)))</f>
        <v>527</v>
      </c>
      <c r="W27" s="263"/>
      <c r="X27" s="263">
        <f t="shared" si="4"/>
        <v>0</v>
      </c>
      <c r="Y27" s="263"/>
      <c r="Z27" s="263"/>
      <c r="AB27" s="265" t="str">
        <f t="shared" si="5"/>
        <v>TinTin Technology &amp; Refining</v>
      </c>
    </row>
    <row r="28" spans="1:28" s="264" customFormat="1" ht="63.75">
      <c r="A28" s="207" t="s">
        <v>13884</v>
      </c>
      <c r="B28" s="208" t="s">
        <v>1131</v>
      </c>
      <c r="C28" s="212" t="s">
        <v>13883</v>
      </c>
      <c r="D28" s="212" t="s">
        <v>13883</v>
      </c>
      <c r="E28" s="208" t="s">
        <v>1100</v>
      </c>
      <c r="F28" s="208" t="s">
        <v>13884</v>
      </c>
      <c r="G28" s="208" t="s">
        <v>13320</v>
      </c>
      <c r="H28" s="209">
        <v>0</v>
      </c>
      <c r="I28" s="210" t="s">
        <v>13922</v>
      </c>
      <c r="J28" s="210" t="s">
        <v>13697</v>
      </c>
      <c r="K28" s="260"/>
      <c r="L28" s="260"/>
      <c r="M28" s="260"/>
      <c r="N28" s="260"/>
      <c r="O28" s="260"/>
      <c r="P28" s="211"/>
      <c r="Q28" s="261"/>
      <c r="R28" s="208" t="str">
        <f ca="1">IF(ISERROR($V28),"",OFFSET('Smelter Look-up'!$C$4,$V28-4,0)&amp;"")</f>
        <v>Ma'anshan Weitai Tin Co., Ltd.</v>
      </c>
      <c r="S28" s="215" t="str">
        <f t="shared" ca="1" si="3"/>
        <v>CN</v>
      </c>
      <c r="T28" s="215" t="str">
        <f ca="1">IF(B28="","",IF(ISERROR(MATCH($J28,SorP!$B$1:$B$6230,0)),"",INDIRECT("'SorP'!$A$"&amp;MATCH($J28,SorP!$B$1:$B$6230,0))))</f>
        <v>CN-AH</v>
      </c>
      <c r="U28" s="231"/>
      <c r="V28" s="262">
        <f>IF(C28="",NA(),IF(OR(C28="Smelter not listed",C28="Smelter not yet identified"),MATCH($B28&amp;$D28,'Smelter Look-up'!$J:$J,0),MATCH($B28&amp;$C28,'Smelter Look-up'!$J:$J,0)))</f>
        <v>455</v>
      </c>
      <c r="W28" s="263"/>
      <c r="X28" s="263">
        <f t="shared" si="4"/>
        <v>0</v>
      </c>
      <c r="Y28" s="263"/>
      <c r="Z28" s="263"/>
      <c r="AB28" s="265" t="str">
        <f t="shared" si="5"/>
        <v>TinMa'anshan Weitai Tin Co., Ltd.</v>
      </c>
    </row>
    <row r="29" spans="1:28" s="264" customFormat="1" ht="63.75">
      <c r="A29" s="207" t="s">
        <v>1801</v>
      </c>
      <c r="B29" s="208" t="s">
        <v>1131</v>
      </c>
      <c r="C29" s="212" t="s">
        <v>13261</v>
      </c>
      <c r="D29" s="212" t="s">
        <v>13261</v>
      </c>
      <c r="E29" s="208" t="s">
        <v>1100</v>
      </c>
      <c r="F29" s="208" t="s">
        <v>1801</v>
      </c>
      <c r="G29" s="208" t="s">
        <v>13320</v>
      </c>
      <c r="H29" s="209">
        <v>0</v>
      </c>
      <c r="I29" s="210" t="s">
        <v>1786</v>
      </c>
      <c r="J29" s="210" t="s">
        <v>13699</v>
      </c>
      <c r="K29" s="260"/>
      <c r="L29" s="260"/>
      <c r="M29" s="260"/>
      <c r="N29" s="260"/>
      <c r="O29" s="260"/>
      <c r="P29" s="211"/>
      <c r="Q29" s="261"/>
      <c r="R29" s="208" t="str">
        <f ca="1">IF(ISERROR($V29),"",OFFSET('Smelter Look-up'!$C$4,$V29-4,0)&amp;"")</f>
        <v>Jiangxi New Nanshan Technology Ltd.</v>
      </c>
      <c r="S29" s="215" t="str">
        <f t="shared" ca="1" si="3"/>
        <v>CN</v>
      </c>
      <c r="T29" s="215" t="str">
        <f ca="1">IF(B29="","",IF(ISERROR(MATCH($J29,SorP!$B$1:$B$6230,0)),"",INDIRECT("'SorP'!$A$"&amp;MATCH($J29,SorP!$B$1:$B$6230,0))))</f>
        <v>CN-JX</v>
      </c>
      <c r="U29" s="231"/>
      <c r="V29" s="262">
        <f>IF(C29="",NA(),IF(OR(C29="Smelter not listed",C29="Smelter not yet identified"),MATCH($B29&amp;$D29,'Smelter Look-up'!$J:$J,0),MATCH($B29&amp;$C29,'Smelter Look-up'!$J:$J,0)))</f>
        <v>448</v>
      </c>
      <c r="W29" s="263"/>
      <c r="X29" s="263">
        <f t="shared" si="4"/>
        <v>0</v>
      </c>
      <c r="Y29" s="263"/>
      <c r="Z29" s="263"/>
      <c r="AB29" s="265" t="str">
        <f t="shared" si="5"/>
        <v>TinJiangxi New Nanshan Technology Ltd.</v>
      </c>
    </row>
    <row r="30" spans="1:28" s="264" customFormat="1" ht="51">
      <c r="A30" s="207" t="s">
        <v>782</v>
      </c>
      <c r="B30" s="208" t="s">
        <v>1131</v>
      </c>
      <c r="C30" s="212" t="s">
        <v>627</v>
      </c>
      <c r="D30" s="212" t="s">
        <v>627</v>
      </c>
      <c r="E30" s="208" t="s">
        <v>1105</v>
      </c>
      <c r="F30" s="208" t="s">
        <v>782</v>
      </c>
      <c r="G30" s="208" t="s">
        <v>13320</v>
      </c>
      <c r="H30" s="209">
        <v>0</v>
      </c>
      <c r="I30" s="210" t="s">
        <v>1779</v>
      </c>
      <c r="J30" s="210" t="s">
        <v>12931</v>
      </c>
      <c r="K30" s="260"/>
      <c r="L30" s="260"/>
      <c r="M30" s="260"/>
      <c r="N30" s="260"/>
      <c r="O30" s="260"/>
      <c r="P30" s="211"/>
      <c r="Q30" s="261"/>
      <c r="R30" s="208" t="str">
        <f ca="1">IF(ISERROR($V30),"",OFFSET('Smelter Look-up'!$C$4,$V30-4,0)&amp;"")</f>
        <v>PT Mitra Stania Prima</v>
      </c>
      <c r="S30" s="215" t="str">
        <f t="shared" ca="1" si="3"/>
        <v>ID</v>
      </c>
      <c r="T30" s="215" t="str">
        <f ca="1">IF(B30="","",IF(ISERROR(MATCH($J30,SorP!$B$1:$B$6230,0)),"",INDIRECT("'SorP'!$A$"&amp;MATCH($J30,SorP!$B$1:$B$6230,0))))</f>
        <v>ID-BB</v>
      </c>
      <c r="U30" s="231"/>
      <c r="V30" s="262">
        <f>IF(C30="",NA(),IF(OR(C30="Smelter not listed",C30="Smelter not yet identified"),MATCH($B30&amp;$D30,'Smelter Look-up'!$J:$J,0),MATCH($B30&amp;$C30,'Smelter Look-up'!$J:$J,0)))</f>
        <v>496</v>
      </c>
      <c r="W30" s="263"/>
      <c r="X30" s="263">
        <f t="shared" si="4"/>
        <v>0</v>
      </c>
      <c r="Y30" s="263"/>
      <c r="Z30" s="263"/>
      <c r="AB30" s="265" t="str">
        <f t="shared" si="5"/>
        <v>TinPT Mitra Stania Prima</v>
      </c>
    </row>
    <row r="31" spans="1:28" s="264" customFormat="1" ht="51">
      <c r="A31" s="207" t="s">
        <v>804</v>
      </c>
      <c r="B31" s="208" t="s">
        <v>1131</v>
      </c>
      <c r="C31" s="212" t="s">
        <v>13882</v>
      </c>
      <c r="D31" s="212" t="s">
        <v>13882</v>
      </c>
      <c r="E31" s="208" t="s">
        <v>1105</v>
      </c>
      <c r="F31" s="208" t="s">
        <v>804</v>
      </c>
      <c r="G31" s="208" t="s">
        <v>13320</v>
      </c>
      <c r="H31" s="209">
        <v>0</v>
      </c>
      <c r="I31" s="210" t="s">
        <v>1805</v>
      </c>
      <c r="J31" s="210" t="s">
        <v>6100</v>
      </c>
      <c r="K31" s="260"/>
      <c r="L31" s="260"/>
      <c r="M31" s="260"/>
      <c r="N31" s="260"/>
      <c r="O31" s="260"/>
      <c r="P31" s="211"/>
      <c r="Q31" s="261"/>
      <c r="R31" s="208" t="str">
        <f ca="1">IF(ISERROR($V31),"",OFFSET('Smelter Look-up'!$C$4,$V31-4,0)&amp;"")</f>
        <v>PT Timah Tbk Kundur</v>
      </c>
      <c r="S31" s="215" t="str">
        <f t="shared" ca="1" si="3"/>
        <v>ID</v>
      </c>
      <c r="T31" s="215" t="str">
        <f ca="1">IF(B31="","",IF(ISERROR(MATCH($J31,SorP!$B$1:$B$6230,0)),"",INDIRECT("'SorP'!$A$"&amp;MATCH($J31,SorP!$B$1:$B$6230,0))))</f>
        <v>ID-RI</v>
      </c>
      <c r="U31" s="231"/>
      <c r="V31" s="262">
        <f>IF(C31="",NA(),IF(OR(C31="Smelter not listed",C31="Smelter not yet identified"),MATCH($B31&amp;$D31,'Smelter Look-up'!$J:$J,0),MATCH($B31&amp;$C31,'Smelter Look-up'!$J:$J,0)))</f>
        <v>508</v>
      </c>
      <c r="W31" s="263"/>
      <c r="X31" s="263">
        <f t="shared" si="4"/>
        <v>0</v>
      </c>
      <c r="Y31" s="263"/>
      <c r="Z31" s="263"/>
      <c r="AB31" s="265" t="str">
        <f t="shared" si="5"/>
        <v>TinPT Timah Tbk Kundur</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45" priority="56" stopIfTrue="1">
      <formula>IF(B586="",TRUE)</formula>
    </cfRule>
    <cfRule type="expression" dxfId="44" priority="67" stopIfTrue="1">
      <formula>IF(AND(COUNTIF(MetalSmelter,B586&amp;C586)=0,LEN(C586)&gt;0),TRUE,FALSE)</formula>
    </cfRule>
  </conditionalFormatting>
  <conditionalFormatting sqref="R586:R2505 E586:E2504">
    <cfRule type="expression" dxfId="43" priority="63" stopIfTrue="1">
      <formula>IF(AND(E586="",$C586=$X$4),TRUE)</formula>
    </cfRule>
    <cfRule type="expression" dxfId="42" priority="64" stopIfTrue="1">
      <formula>IF(FIND("!",E586),TRUE)</formula>
    </cfRule>
  </conditionalFormatting>
  <conditionalFormatting sqref="F586:F2504">
    <cfRule type="expression" dxfId="41" priority="54" stopIfTrue="1">
      <formula>IF(AND(LEN($A586)&gt;0,$A586&lt;&gt;$F586),TRUE,FALSE)</formula>
    </cfRule>
  </conditionalFormatting>
  <conditionalFormatting sqref="C586:C2504">
    <cfRule type="expression" dxfId="40" priority="53" stopIfTrue="1">
      <formula>IF(AND(B586&lt;&gt;"",C586=""),TRUE)</formula>
    </cfRule>
  </conditionalFormatting>
  <conditionalFormatting sqref="B32:B585">
    <cfRule type="expression" dxfId="39" priority="32" stopIfTrue="1">
      <formula>IF(B32="",TRUE)</formula>
    </cfRule>
    <cfRule type="expression" dxfId="38" priority="35" stopIfTrue="1">
      <formula>IF(AND(COUNTIF(MetalSmelter,B32&amp;C32)=0,LEN(C32)&gt;0),TRUE,FALSE)</formula>
    </cfRule>
  </conditionalFormatting>
  <conditionalFormatting sqref="G32:G2504">
    <cfRule type="expression" dxfId="37" priority="38" stopIfTrue="1">
      <formula>IF(FIND("Enter smelter details",G32),TRUE)</formula>
    </cfRule>
  </conditionalFormatting>
  <conditionalFormatting sqref="R5:R585 E32:E585">
    <cfRule type="expression" dxfId="36" priority="33" stopIfTrue="1">
      <formula>IF(AND(E5="",$C5=$X$4),TRUE)</formula>
    </cfRule>
    <cfRule type="expression" dxfId="35" priority="34" stopIfTrue="1">
      <formula>IF(FIND("!",E5),TRUE)</formula>
    </cfRule>
  </conditionalFormatting>
  <conditionalFormatting sqref="F32:F585">
    <cfRule type="expression" dxfId="34" priority="31" stopIfTrue="1">
      <formula>IF(AND(LEN($A32)&gt;0,$A32&lt;&gt;$F32),TRUE,FALSE)</formula>
    </cfRule>
  </conditionalFormatting>
  <conditionalFormatting sqref="C32:C585">
    <cfRule type="expression" dxfId="33" priority="30" stopIfTrue="1">
      <formula>IF(AND(B32&lt;&gt;"",C32=""),TRUE)</formula>
    </cfRule>
  </conditionalFormatting>
  <conditionalFormatting sqref="D32:D2504">
    <cfRule type="expression" dxfId="32" priority="29" stopIfTrue="1">
      <formula>IF(AND(LEN($C32)&gt;0,AND($C32&lt;&gt;"Smelter Not Listed",ISBLANK($D32))),1,0)</formula>
    </cfRule>
    <cfRule type="expression" dxfId="31" priority="36" stopIfTrue="1">
      <formula>IF(AND(D32="",$C32=$X$4),TRUE)</formula>
    </cfRule>
    <cfRule type="expression" dxfId="30" priority="37" stopIfTrue="1">
      <formula>IF(FIND("!",D32),TRUE)</formula>
    </cfRule>
  </conditionalFormatting>
  <conditionalFormatting sqref="B21:B31 B5:B19">
    <cfRule type="expression" dxfId="29" priority="12" stopIfTrue="1">
      <formula>IF(B5="",TRUE)</formula>
    </cfRule>
    <cfRule type="expression" dxfId="28" priority="15" stopIfTrue="1">
      <formula>IF(AND(COUNTIF(MetalSmelter,B5&amp;C5)=0,LEN(C5)&gt;0),TRUE,FALSE)</formula>
    </cfRule>
  </conditionalFormatting>
  <conditionalFormatting sqref="G5:G31">
    <cfRule type="expression" dxfId="27" priority="18" stopIfTrue="1">
      <formula>IF(FIND("Enter smelter details",G5),TRUE)</formula>
    </cfRule>
  </conditionalFormatting>
  <conditionalFormatting sqref="E5:E19 E21:E31">
    <cfRule type="expression" dxfId="26" priority="13" stopIfTrue="1">
      <formula>IF(AND(E5="",$C5=$X$4),TRUE)</formula>
    </cfRule>
    <cfRule type="expression" dxfId="25" priority="14" stopIfTrue="1">
      <formula>IF(FIND("!",E5),TRUE)</formula>
    </cfRule>
  </conditionalFormatting>
  <conditionalFormatting sqref="F5:F19 F21:F31">
    <cfRule type="expression" dxfId="24" priority="11" stopIfTrue="1">
      <formula>IF(AND(LEN($A5)&gt;0,$A5&lt;&gt;$F5),TRUE,FALSE)</formula>
    </cfRule>
  </conditionalFormatting>
  <conditionalFormatting sqref="C21:C31 C5:C19">
    <cfRule type="expression" dxfId="23" priority="10" stopIfTrue="1">
      <formula>IF(AND(B5&lt;&gt;"",C5=""),TRUE)</formula>
    </cfRule>
  </conditionalFormatting>
  <conditionalFormatting sqref="B20">
    <cfRule type="expression" dxfId="22" priority="5" stopIfTrue="1">
      <formula>IF(B20="",TRUE)</formula>
    </cfRule>
    <cfRule type="expression" dxfId="21" priority="8" stopIfTrue="1">
      <formula>IF(AND(COUNTIF(MetalSmelter,B20&amp;C20)=0,LEN(C20)&gt;0),TRUE,FALSE)</formula>
    </cfRule>
  </conditionalFormatting>
  <conditionalFormatting sqref="E20">
    <cfRule type="expression" dxfId="20" priority="6" stopIfTrue="1">
      <formula>IF(AND(E20="",$C20=$X$4),TRUE)</formula>
    </cfRule>
    <cfRule type="expression" dxfId="19" priority="7" stopIfTrue="1">
      <formula>IF(FIND("!",E20),TRUE)</formula>
    </cfRule>
  </conditionalFormatting>
  <conditionalFormatting sqref="F20">
    <cfRule type="expression" dxfId="18" priority="4" stopIfTrue="1">
      <formula>IF(AND(LEN($A20)&gt;0,$A20&lt;&gt;$F20),TRUE,FALSE)</formula>
    </cfRule>
  </conditionalFormatting>
  <conditionalFormatting sqref="C20">
    <cfRule type="expression" dxfId="17" priority="3" stopIfTrue="1">
      <formula>IF(AND(B20&lt;&gt;"",C20=""),TRUE)</formula>
    </cfRule>
  </conditionalFormatting>
  <conditionalFormatting sqref="D21:D31 D5:D19">
    <cfRule type="expression" dxfId="16" priority="2" stopIfTrue="1">
      <formula>IF(AND(C5&lt;&gt;"",D5=""),TRUE)</formula>
    </cfRule>
  </conditionalFormatting>
  <conditionalFormatting sqref="D20">
    <cfRule type="expression" dxfId="15" priority="1" stopIfTrue="1">
      <formula>IF(AND(C20&lt;&gt;"",D20=""),TRUE)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Hammond Manufacturing Company Limited</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Ross Hammond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rnhammond@hammfg.com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+1 519 886 7170</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Ross Hammond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rnhammond@hammfg.com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44869</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https://cdn.hammfg.com/compliance/conflict-minerals-policy-2019.pdf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0</v>
      </c>
      <c r="G64" s="78" cm="1">
        <f t="array" aca="1" ref="G64" ca="1">IF(INDIRECT("'Product List'!B6")="",1,0)</f>
        <v>0</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t="s">
        <v>15664</v>
      </c>
      <c r="C6" s="108"/>
      <c r="D6" s="108"/>
      <c r="E6" s="349"/>
    </row>
    <row r="7" spans="1:6" ht="15.75">
      <c r="A7" s="151"/>
      <c r="B7" s="347" t="s">
        <v>15665</v>
      </c>
      <c r="C7" s="108"/>
      <c r="D7" s="108"/>
      <c r="E7" s="349"/>
    </row>
    <row r="8" spans="1:6" ht="15.75">
      <c r="A8" s="151"/>
      <c r="B8" s="347" t="s">
        <v>15666</v>
      </c>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Ross N. Hammond</cp:lastModifiedBy>
  <cp:lastPrinted>2015-04-21T20:47:43Z</cp:lastPrinted>
  <dcterms:created xsi:type="dcterms:W3CDTF">2010-06-21T21:00:23Z</dcterms:created>
  <dcterms:modified xsi:type="dcterms:W3CDTF">2022-11-04T17:54:17Z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